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550" tabRatio="784" firstSheet="19" activeTab="20"/>
  </bookViews>
  <sheets>
    <sheet name="目录" sheetId="88" r:id="rId1"/>
    <sheet name="表一、2024年公共财政预算收入执行情况表" sheetId="65" r:id="rId2"/>
    <sheet name="表二、2024年预算平衡情况表" sheetId="64" r:id="rId3"/>
    <sheet name="表三、2024年公共财政支出预算执行情况表" sheetId="70" r:id="rId4"/>
    <sheet name="表四、2024年公共财政支出变动表" sheetId="62" r:id="rId5"/>
    <sheet name="表五、2024年政府性基金收支执行明细表 " sheetId="71" r:id="rId6"/>
    <sheet name="表六、2024年政府性基金支出来源情况表 " sheetId="60" r:id="rId7"/>
    <sheet name="表七、2024年社保基金执行情况" sheetId="59" r:id="rId8"/>
    <sheet name="表八、2024年国有资本经营执行情况表" sheetId="66" r:id="rId9"/>
    <sheet name="表九、2024年三公经费执行情况表" sheetId="58" r:id="rId10"/>
    <sheet name="表十、2024年其他社保基金执行情况" sheetId="67" r:id="rId11"/>
    <sheet name="表十一、2025年一般公共预算收入表" sheetId="50" r:id="rId12"/>
    <sheet name="表十二、2025年一般公共预算支出表" sheetId="51" r:id="rId13"/>
    <sheet name="表十三、2025年一般公共预算本级支出表" sheetId="74" r:id="rId14"/>
    <sheet name="表十四、2025年一般公共预算基本支出经济分类预算表" sheetId="72" r:id="rId15"/>
    <sheet name="表十五、2025年一般公共预算本级基本支出表" sheetId="75" r:id="rId16"/>
    <sheet name="表十六、2025年一般公共预算税收返还和转移支付表" sheetId="76" r:id="rId17"/>
    <sheet name="表十七、2025年一般公共预算平衡表" sheetId="52" r:id="rId18"/>
    <sheet name="表十八、2025年一般公共预算平衡表（县级财力）" sheetId="73" r:id="rId19"/>
    <sheet name="表十九、2025年一般公共预算支出资金来源情况表" sheetId="55" r:id="rId20"/>
    <sheet name="表二十、2025年政府一般债务限额和余额情况表" sheetId="77" r:id="rId21"/>
    <sheet name="表二十一、2025年政府性基金预算收入表 " sheetId="78" r:id="rId22"/>
    <sheet name="表二十二、2025年政府性基金预算支出表" sheetId="79" r:id="rId23"/>
    <sheet name="表二十三、2025年政府性基金预算收支表" sheetId="54" r:id="rId24"/>
    <sheet name="表二十四、2025年本级政府性基金支出表" sheetId="80" r:id="rId25"/>
    <sheet name="表二十五、2025年政府性基金预算收支明细表" sheetId="48" r:id="rId26"/>
    <sheet name="表二十六、2025年政府性基金预算转移支付表" sheetId="81" r:id="rId27"/>
    <sheet name="表二十七、2025年政府性基金预算支出资金来源情况表" sheetId="47" r:id="rId28"/>
    <sheet name="表二十八、2025年政府专项债务限额和余额情况表" sheetId="82" r:id="rId29"/>
    <sheet name="表二十九、2025年社会保险金预算" sheetId="40" r:id="rId30"/>
    <sheet name="表三十、2025年社会保险金预算收入表" sheetId="83" r:id="rId31"/>
    <sheet name="表三十一、2025年社会保险金预算支出表" sheetId="84" r:id="rId32"/>
    <sheet name="表三十二、2025年国有资本经营预算收支总表" sheetId="46" r:id="rId33"/>
    <sheet name="表三十三、2025年国有资本经营预算收入表 " sheetId="85" r:id="rId34"/>
    <sheet name="表三十四、2025年国有资本经营预算支出表" sheetId="86" r:id="rId35"/>
    <sheet name="表三十五、2025年本级国有资本经营预算支出表" sheetId="87" r:id="rId36"/>
    <sheet name="表三十六、2025年三公经费预算表" sheetId="49" r:id="rId37"/>
  </sheets>
  <externalReferences>
    <externalReference r:id="rId38"/>
  </externalReferences>
  <definedNames>
    <definedName name="_xlnm._FilterDatabase" localSheetId="4" hidden="1">表四、2024年公共财政支出变动表!$A$5:$HP$226</definedName>
    <definedName name="_xlnm._FilterDatabase" localSheetId="5" hidden="1">'表五、2024年政府性基金收支执行明细表 '!$A$4:$R$216</definedName>
    <definedName name="_xlnm._FilterDatabase" localSheetId="19" hidden="1">表十九、2025年一般公共预算支出资金来源情况表!$A$4:$Q$226</definedName>
    <definedName name="_xlnm._FilterDatabase" localSheetId="25" hidden="1">表二十五、2025年政府性基金预算收支明细表!$A$3:$I$227</definedName>
    <definedName name="_xlnm.Print_Area" localSheetId="3">表三、2024年公共财政支出预算执行情况表!$A$1:$H$207</definedName>
    <definedName name="_xlnm.Print_Area" localSheetId="29">表二十九、2025年社会保险金预算!$A$1:$E$16</definedName>
    <definedName name="_xlnm.Print_Area" localSheetId="12">表十二、2025年一般公共预算支出表!$A$1:$J$1313</definedName>
    <definedName name="_xlnm.Print_Area" localSheetId="27">表二十七、2025年政府性基金预算支出资金来源情况表!$A$1:$H$58</definedName>
    <definedName name="_xlnm.Print_Area" localSheetId="19">表十九、2025年一般公共预算支出资金来源情况表!$A$1:$J$215</definedName>
    <definedName name="_xlnm.Print_Area" localSheetId="11">表十一、2025年一般公共预算收入表!$A$1:$E$29</definedName>
    <definedName name="_xlnm.Print_Titles" localSheetId="2">表二、2024年预算平衡情况表!$1:$4</definedName>
    <definedName name="_xlnm.Print_Titles" localSheetId="6">'表六、2024年政府性基金支出来源情况表 '!$1:$4</definedName>
    <definedName name="_xlnm.Print_Titles" localSheetId="3">表三、2024年公共财政支出预算执行情况表!$1:$3</definedName>
    <definedName name="_xlnm.Print_Titles" localSheetId="12">表十二、2025年一般公共预算支出表!$1:$3</definedName>
    <definedName name="_xlnm.Print_Titles" localSheetId="25">表二十五、2025年政府性基金预算收支明细表!$1:$4</definedName>
    <definedName name="_xlnm.Print_Titles" localSheetId="27">表二十七、2025年政府性基金预算支出资金来源情况表!$1:$4</definedName>
    <definedName name="_xlnm.Print_Titles" localSheetId="17">表十七、2025年一般公共预算平衡表!$1:$4</definedName>
    <definedName name="_xlnm.Print_Titles" localSheetId="19">表十九、2025年一般公共预算支出资金来源情况表!$1:$4</definedName>
    <definedName name="_xlnm.Print_Titles" localSheetId="23">表二十三、2025年政府性基金预算收支表!$1:$4</definedName>
    <definedName name="_xlnm.Print_Titles" localSheetId="11">表十一、2025年一般公共预算收入表!$1:$3</definedName>
    <definedName name="_xlnm.Print_Titles" localSheetId="4">表四、2024年公共财政支出变动表!$1:$5</definedName>
    <definedName name="_xlnm.Print_Titles" localSheetId="5">'表五、2024年政府性基金收支执行明细表 '!$1:$4</definedName>
    <definedName name="_xlnm.Print_Area" localSheetId="5">'表五、2024年政府性基金收支执行明细表 '!$A$1:$L$188</definedName>
    <definedName name="_xlnm._FilterDatabase" localSheetId="3" hidden="1">表三、2024年公共财政支出预算执行情况表!$A$3:$L$214</definedName>
    <definedName name="_xlnm._FilterDatabase" localSheetId="12" hidden="1">表十二、2025年一般公共预算支出表!$A$3:$S$1315</definedName>
    <definedName name="_xlnm._FilterDatabase" localSheetId="23" hidden="1">表二十三、2025年政府性基金预算收支表!$A$4:$H$65</definedName>
    <definedName name="_xlnm._FilterDatabase" localSheetId="22" hidden="1">表二十二、2025年政府性基金预算支出表!$D$27:$D$30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11" authorId="0">
      <text>
        <r>
          <rPr>
            <b/>
            <sz val="9"/>
            <rFont val="宋体"/>
            <charset val="134"/>
          </rPr>
          <t>Administrator:</t>
        </r>
        <r>
          <rPr>
            <sz val="9"/>
            <rFont val="宋体"/>
            <charset val="134"/>
          </rPr>
          <t xml:space="preserve">
789企业职工基本养老责任分担资金</t>
        </r>
      </text>
    </comment>
  </commentList>
</comments>
</file>

<file path=xl/comments2.xml><?xml version="1.0" encoding="utf-8"?>
<comments xmlns="http://schemas.openxmlformats.org/spreadsheetml/2006/main">
  <authors>
    <author>Administrator</author>
  </authors>
  <commentList>
    <comment ref="G11" authorId="0">
      <text>
        <r>
          <rPr>
            <b/>
            <sz val="9"/>
            <rFont val="宋体"/>
            <charset val="134"/>
          </rPr>
          <t>Administrator:</t>
        </r>
        <r>
          <rPr>
            <sz val="9"/>
            <rFont val="宋体"/>
            <charset val="134"/>
          </rPr>
          <t xml:space="preserve">
789企业职工基本养老责任分担资金</t>
        </r>
      </text>
    </comment>
  </commentList>
</comments>
</file>

<file path=xl/comments3.xml><?xml version="1.0" encoding="utf-8"?>
<comments xmlns="http://schemas.openxmlformats.org/spreadsheetml/2006/main">
  <authors>
    <author>Administrator</author>
  </authors>
  <commentList>
    <comment ref="G11" authorId="0">
      <text>
        <r>
          <rPr>
            <b/>
            <sz val="9"/>
            <rFont val="宋体"/>
            <charset val="134"/>
          </rPr>
          <t>Administrator:</t>
        </r>
        <r>
          <rPr>
            <sz val="9"/>
            <rFont val="宋体"/>
            <charset val="134"/>
          </rPr>
          <t xml:space="preserve">
789企业职工基本养老责任分担资金</t>
        </r>
      </text>
    </comment>
  </commentList>
</comments>
</file>

<file path=xl/sharedStrings.xml><?xml version="1.0" encoding="utf-8"?>
<sst xmlns="http://schemas.openxmlformats.org/spreadsheetml/2006/main" count="21325" uniqueCount="4332">
  <si>
    <t>目    录</t>
  </si>
  <si>
    <t>一、2024年一般公共预算预算报表</t>
  </si>
  <si>
    <t>表一、2024年公共财政预算收入执行情况表</t>
  </si>
  <si>
    <t>表二、2024年预算平衡情况表</t>
  </si>
  <si>
    <t>表三、2024年公共财政支出预算执行情况表</t>
  </si>
  <si>
    <t>表四、2024年公共财政支出变动表</t>
  </si>
  <si>
    <t>二、2024年政府性基金预算报表</t>
  </si>
  <si>
    <t xml:space="preserve">表五、2024年政府性基金收支执行明细表 </t>
  </si>
  <si>
    <t xml:space="preserve">表六、2024年政府性基金支出来源情况表 </t>
  </si>
  <si>
    <t>三、2024年社会保险基金预算报表</t>
  </si>
  <si>
    <t>表七、2024年社保基金执行情况</t>
  </si>
  <si>
    <t>四、2024年国有资本经营预算报表</t>
  </si>
  <si>
    <t>表八、2024年国有资本经营执行情况表</t>
  </si>
  <si>
    <t>五、2024年“三公”经费预算执行情况表</t>
  </si>
  <si>
    <t>表九、2024年三公经费执行情况表</t>
  </si>
  <si>
    <t xml:space="preserve">六、2024年其他社会保障基金预算执行情况    </t>
  </si>
  <si>
    <t>表十、2024年其他社保基金执行情况</t>
  </si>
  <si>
    <t>七、2025年一般公共预算预算报表</t>
  </si>
  <si>
    <t>表十一、2025年一般公共预算收入表</t>
  </si>
  <si>
    <t>表十二、2025年一般公共预算支出表</t>
  </si>
  <si>
    <t>表十三、2025年一般公共预算本级支出表</t>
  </si>
  <si>
    <t>表十四、2025年一般公共预算基本支出经济分类预算表</t>
  </si>
  <si>
    <t>表十五、2025年一般公共预算本级基本支出表</t>
  </si>
  <si>
    <t>表十六、2025年一般公共预算税收返还和转移支付表</t>
  </si>
  <si>
    <t>表十七、2025年一般公共预算平衡表</t>
  </si>
  <si>
    <t>表十八、2025年一般公共预算平衡表（县级财力）</t>
  </si>
  <si>
    <t>表十九、2025年一般公共预算支出资金来源情况表</t>
  </si>
  <si>
    <t>八、2025年政府一般债务限额和余额情况表</t>
  </si>
  <si>
    <t>表二十、2025年政府一般债务限额和余额情况表</t>
  </si>
  <si>
    <t>九、2025年政府性基金预算报表</t>
  </si>
  <si>
    <t xml:space="preserve">表二十一、2025年政府性基金预算收入表 </t>
  </si>
  <si>
    <t>表二十二、2025年政府性基金预算支出表</t>
  </si>
  <si>
    <t>表二十三、2025年政府性基金预算收支表</t>
  </si>
  <si>
    <t>表二十四、2025年本级政府性基金支出表</t>
  </si>
  <si>
    <t>表二十五、2025年政府性基金预算收支明细表</t>
  </si>
  <si>
    <t>表二十六、2025年政府性基金预算转移支付表</t>
  </si>
  <si>
    <t>表二十七、2025年政府性基金预算支出资金来源情况表</t>
  </si>
  <si>
    <t>十、2025年政府专项债务限额和余额情况表</t>
  </si>
  <si>
    <t>表二十八、2025年政府专项债务限额和余额情况表</t>
  </si>
  <si>
    <t>十一、2025年社会保险基金预算报表</t>
  </si>
  <si>
    <t>表二十九、2025年社会保险金预算</t>
  </si>
  <si>
    <t>表三十、2025年社会保险金预算收入表</t>
  </si>
  <si>
    <t>表三十一、2025年社会保险金预算支出表</t>
  </si>
  <si>
    <t>十二、2025年国有资本经营预算报表</t>
  </si>
  <si>
    <t>表三十二、2025年国有资本经营预算收支总表</t>
  </si>
  <si>
    <t xml:space="preserve">表三十三、2025年国有资本经营预算收入表 </t>
  </si>
  <si>
    <t>表三十四、2025年国有资本经营预算支出表</t>
  </si>
  <si>
    <t>表三十五、2025年本级国有资本经营预算支出表</t>
  </si>
  <si>
    <t>十三、2025年“三公”经费预算执行情况表</t>
  </si>
  <si>
    <t>表三十六、2025年三公经费预算表</t>
  </si>
  <si>
    <t>表一、2024年一般公共财政预算收入调整及执行情况表</t>
  </si>
  <si>
    <t>单位：万元</t>
  </si>
  <si>
    <t>项目</t>
  </si>
  <si>
    <t>上年决算数</t>
  </si>
  <si>
    <t>2024年初预算数</t>
  </si>
  <si>
    <t>2024年
预算调整数</t>
  </si>
  <si>
    <t>2024年
预算执行数</t>
  </si>
  <si>
    <t>同比增长%</t>
  </si>
  <si>
    <t>完成调整数的%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</si>
  <si>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</si>
  <si>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</si>
  <si>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</si>
  <si>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</si>
  <si>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</si>
  <si>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</si>
  <si>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</si>
  <si>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</si>
  <si>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</si>
  <si>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</si>
  <si>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</si>
  <si>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</si>
  <si>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</si>
  <si>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环保税</t>
  </si>
  <si>
    <t xml:space="preserve">    其他税</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</si>
  <si>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</si>
  <si>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</si>
  <si>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</si>
  <si>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</si>
  <si>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</si>
  <si>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</si>
  <si>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</si>
  <si>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收入合计</t>
  </si>
  <si>
    <t>表二、2024年一般公共财政预算收支平衡表</t>
  </si>
  <si>
    <t>收入</t>
  </si>
  <si>
    <t>隐藏</t>
  </si>
  <si>
    <t>支出</t>
  </si>
  <si>
    <t>预算数</t>
  </si>
  <si>
    <t>预算调整数</t>
  </si>
  <si>
    <t>与年初数对比</t>
  </si>
  <si>
    <t>预算执行数</t>
  </si>
  <si>
    <t>比上年增减金额</t>
  </si>
  <si>
    <t>比上年增减%</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</si>
  <si>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</si>
  <si>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</si>
  <si>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</si>
  <si>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</si>
  <si>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</si>
  <si>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</si>
  <si>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</si>
  <si>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</si>
  <si>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</si>
  <si>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出口退税专项上解支出</t>
  </si>
  <si>
    <t xml:space="preserve">      成品油税费改革税收返还收入</t>
  </si>
  <si>
    <t xml:space="preserve">    成品油价格和税费改革专项上解支出</t>
  </si>
  <si>
    <t xml:space="preserve">      增值税税收返还收入</t>
  </si>
  <si>
    <t xml:space="preserve">    专项上解支出</t>
  </si>
  <si>
    <t xml:space="preserve">      增值税五五分享税收返还收入</t>
  </si>
  <si>
    <t xml:space="preserve">    上解市级支出（法院、检察院、生态局基数上解支出</t>
  </si>
  <si>
    <t xml:space="preserve">      其他税收返还收入</t>
  </si>
  <si>
    <t xml:space="preserve">    一般性转移支付收入</t>
  </si>
  <si>
    <t xml:space="preserve">  补助下级支出</t>
  </si>
  <si>
    <t xml:space="preserve">      体制补助收入</t>
  </si>
  <si>
    <t xml:space="preserve">    返还性支出</t>
  </si>
  <si>
    <t xml:space="preserve">      均衡性转移支付收入</t>
  </si>
  <si>
    <t xml:space="preserve">      增值税和消费税税收返还支出 </t>
  </si>
  <si>
    <t xml:space="preserve">      县级基本财力保障机制奖补资金收入</t>
  </si>
  <si>
    <t xml:space="preserve">      所得税基数返还支出</t>
  </si>
  <si>
    <t xml:space="preserve">      结算补助收入</t>
  </si>
  <si>
    <t xml:space="preserve">      成品油价格和税费改革税收返还支出</t>
  </si>
  <si>
    <r>
      <rPr>
        <sz val="9"/>
        <rFont val="宋体"/>
        <charset val="134"/>
      </rPr>
      <t xml:space="preserve">      </t>
    </r>
    <r>
      <rPr>
        <sz val="9"/>
        <rFont val="宋体"/>
        <charset val="134"/>
      </rPr>
      <t>城乡居民医疗保险等转移支付收入</t>
    </r>
  </si>
  <si>
    <t xml:space="preserve">      其他税收返还支出</t>
  </si>
  <si>
    <t xml:space="preserve">      农村综合改革转移支付收入</t>
  </si>
  <si>
    <t xml:space="preserve">    一般性转移支付</t>
  </si>
  <si>
    <t xml:space="preserve">      产粮（油）大县奖励资金收入</t>
  </si>
  <si>
    <t xml:space="preserve">      体制补助支出</t>
  </si>
  <si>
    <t xml:space="preserve">      重点生态功能区转移支付收入</t>
  </si>
  <si>
    <t xml:space="preserve">      均衡性转移支付支出</t>
  </si>
  <si>
    <t xml:space="preserve">      固定数额补助收入</t>
  </si>
  <si>
    <t xml:space="preserve">      革命老区及民族和边境地区转移支付支出</t>
  </si>
  <si>
    <t xml:space="preserve">      革命老区转移支付收入</t>
  </si>
  <si>
    <t xml:space="preserve">      县级基本财力保障机制奖补资金支出</t>
  </si>
  <si>
    <t xml:space="preserve">      民族地区转移支付收入</t>
  </si>
  <si>
    <t xml:space="preserve">      结算补助支出</t>
  </si>
  <si>
    <t xml:space="preserve">      巩固脱贫攻坚成果衔接乡村振兴转移支付收入</t>
  </si>
  <si>
    <t xml:space="preserve">      化解债务补助支出</t>
  </si>
  <si>
    <t xml:space="preserve">      一般公共服务共同财政事权转移支付收入</t>
  </si>
  <si>
    <t xml:space="preserve">      资源枯竭型城市转移支付补助支出</t>
  </si>
  <si>
    <t xml:space="preserve">      公共安全共同财政事权转移支付收入</t>
  </si>
  <si>
    <t xml:space="preserve">      企业事业单位划转补助支出</t>
  </si>
  <si>
    <t xml:space="preserve">      教育共同财政事权转移支付收入</t>
  </si>
  <si>
    <t xml:space="preserve">      成品油价格和税费改革转移支付补助支出</t>
  </si>
  <si>
    <r>
      <rPr>
        <sz val="9"/>
        <rFont val="宋体"/>
        <charset val="134"/>
      </rPr>
      <t xml:space="preserve"> </t>
    </r>
    <r>
      <rPr>
        <sz val="9"/>
        <rFont val="宋体"/>
        <charset val="134"/>
      </rPr>
      <t xml:space="preserve">     </t>
    </r>
    <r>
      <rPr>
        <sz val="9"/>
        <rFont val="宋体"/>
        <charset val="134"/>
      </rPr>
      <t>科学技术共同财政事权转移支付收入</t>
    </r>
  </si>
  <si>
    <t xml:space="preserve">      基层公检法司转移支付支出</t>
  </si>
  <si>
    <t xml:space="preserve">      文化旅游体育与传媒共同财政事权转移支付收入</t>
  </si>
  <si>
    <t xml:space="preserve">      义务教育等转移支付支出</t>
  </si>
  <si>
    <t xml:space="preserve">      社会保障和就业共同财政事权转移支付收入</t>
  </si>
  <si>
    <t xml:space="preserve">      基本养老保险和低保等转移支付支出</t>
  </si>
  <si>
    <t xml:space="preserve">      卫生健康共同财政事权转移支付收入</t>
  </si>
  <si>
    <t xml:space="preserve">      新型农村合作医疗等转移支付支出</t>
  </si>
  <si>
    <t xml:space="preserve">      节能环保共同财政事权转移支付收入</t>
  </si>
  <si>
    <t xml:space="preserve">      农村综合改革转移支付支出</t>
  </si>
  <si>
    <t xml:space="preserve">      农林水共同财政事权转移支付收入</t>
  </si>
  <si>
    <t xml:space="preserve">      产粮（油）大县奖励资金支出</t>
  </si>
  <si>
    <t xml:space="preserve">      交通运输共同财政事权转移支付收入  </t>
  </si>
  <si>
    <t xml:space="preserve">      重点生态功能区转移支付支出</t>
  </si>
  <si>
    <t xml:space="preserve">      住房保障共同财政事权转移支付收入</t>
  </si>
  <si>
    <t xml:space="preserve">      固定数额补助支出</t>
  </si>
  <si>
    <t xml:space="preserve">      灾害防治及应急管理共同财政事权转移支付收入</t>
  </si>
  <si>
    <t xml:space="preserve">      灾害防治及应急管理转移支付支出</t>
  </si>
  <si>
    <t xml:space="preserve">      增值税留抵退税转移支付收入</t>
  </si>
  <si>
    <t xml:space="preserve">      其他一般性转移支付支出</t>
  </si>
  <si>
    <t xml:space="preserve">      其他退税减税降费转移支付收入</t>
  </si>
  <si>
    <t xml:space="preserve">      补充县区财力转移支付收入</t>
  </si>
  <si>
    <t xml:space="preserve">      其他一般性转移支付收入</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</si>
  <si>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</si>
  <si>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</si>
  <si>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</si>
  <si>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</si>
  <si>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</si>
  <si>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</si>
  <si>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</si>
  <si>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</si>
  <si>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</si>
  <si>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文化体育与传媒</t>
  </si>
  <si>
    <t xml:space="preserve">      社会保障和就业</t>
  </si>
  <si>
    <t xml:space="preserve">      卫生健康支出</t>
  </si>
  <si>
    <t xml:space="preserve">      医疗卫生</t>
  </si>
  <si>
    <t xml:space="preserve">      节能环保</t>
  </si>
  <si>
    <t xml:space="preserve">      城乡社区</t>
  </si>
  <si>
    <t xml:space="preserve">      农林水</t>
  </si>
  <si>
    <t xml:space="preserve">      交通运输</t>
  </si>
  <si>
    <t xml:space="preserve">      资源勘探电力信息等</t>
  </si>
  <si>
    <t xml:space="preserve">      商业服务业等</t>
  </si>
  <si>
    <t xml:space="preserve">      金融</t>
  </si>
  <si>
    <t xml:space="preserve">      自然资源气象等</t>
  </si>
  <si>
    <t xml:space="preserve">      国土海洋气象等</t>
  </si>
  <si>
    <t xml:space="preserve">      住房保障</t>
  </si>
  <si>
    <t xml:space="preserve">      粮油物资储备</t>
  </si>
  <si>
    <t xml:space="preserve">      灾害防治及应急管理支出</t>
  </si>
  <si>
    <t xml:space="preserve">      其他支出</t>
  </si>
  <si>
    <t xml:space="preserve">  资金调入</t>
  </si>
  <si>
    <t xml:space="preserve">  调出资金</t>
  </si>
  <si>
    <t xml:space="preserve">       从政府性基金预算调入</t>
  </si>
  <si>
    <t xml:space="preserve">       从其他资金调入</t>
  </si>
  <si>
    <t xml:space="preserve">  地方政府一般债务转贷收入</t>
  </si>
  <si>
    <t xml:space="preserve">  地方政府一般债务还本支出</t>
  </si>
  <si>
    <t xml:space="preserve">     地方政府一般债券转贷收入</t>
  </si>
  <si>
    <t xml:space="preserve">   地方政府一般债券还本支出</t>
  </si>
  <si>
    <t xml:space="preserve">     地方政府向外国政府借款转贷收入</t>
  </si>
  <si>
    <t xml:space="preserve">    地方政府向外国政府借款还本支出</t>
  </si>
  <si>
    <t xml:space="preserve">     地方政府向国际组织借款转贷收入</t>
  </si>
  <si>
    <t xml:space="preserve">    地方政府向国际组织借款还本支出</t>
  </si>
  <si>
    <t xml:space="preserve">     地方政府其他一般债券转贷收入</t>
  </si>
  <si>
    <t xml:space="preserve">    地方政府其他一般债券还本支出</t>
  </si>
  <si>
    <t xml:space="preserve">  下级上解收入</t>
  </si>
  <si>
    <t xml:space="preserve">    体制上解收入</t>
  </si>
  <si>
    <t xml:space="preserve">    出口退税专项上解收入</t>
  </si>
  <si>
    <t xml:space="preserve">  动用预算稳定调节基金</t>
  </si>
  <si>
    <t xml:space="preserve">  安排预算稳定调节基金</t>
  </si>
  <si>
    <t xml:space="preserve">  上年结余收入</t>
  </si>
  <si>
    <t xml:space="preserve">  年终结余</t>
  </si>
  <si>
    <t xml:space="preserve">    上年结转</t>
  </si>
  <si>
    <t xml:space="preserve">    结转</t>
  </si>
  <si>
    <t xml:space="preserve">    净结余</t>
  </si>
  <si>
    <t>收入总计</t>
  </si>
  <si>
    <t>支出总计</t>
  </si>
  <si>
    <t>表三、2024年公共财政预算支出执行情况表</t>
  </si>
  <si>
    <t>2024年预算数</t>
  </si>
  <si>
    <t>2024年调整预算数</t>
  </si>
  <si>
    <t>2024年预算执行数</t>
  </si>
  <si>
    <t>完成调整预算数%</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</si>
  <si>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</si>
  <si>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</si>
  <si>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</si>
  <si>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</si>
  <si>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</si>
  <si>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</si>
  <si>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</si>
  <si>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</si>
  <si>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</si>
  <si>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</si>
  <si>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</si>
  <si>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</si>
  <si>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</si>
  <si>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</si>
  <si>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</si>
  <si>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</si>
  <si>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</si>
  <si>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</si>
  <si>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</si>
  <si>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</si>
  <si>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</si>
  <si>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</si>
  <si>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</si>
  <si>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</si>
  <si>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</si>
  <si>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</si>
  <si>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</si>
  <si>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</si>
  <si>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</si>
  <si>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其他一般公共服务支出</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</si>
  <si>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</si>
  <si>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</si>
  <si>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</si>
  <si>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</si>
  <si>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</si>
  <si>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</si>
  <si>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</si>
  <si>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</si>
  <si>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</si>
  <si>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</si>
  <si>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</si>
  <si>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</si>
  <si>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</si>
  <si>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</si>
  <si>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</si>
  <si>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</si>
  <si>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</si>
  <si>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</si>
  <si>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</si>
  <si>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</si>
  <si>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</si>
  <si>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</si>
  <si>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</si>
  <si>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</si>
  <si>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</si>
  <si>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</si>
  <si>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</si>
  <si>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</si>
  <si>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</si>
  <si>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</si>
  <si>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</si>
  <si>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</si>
  <si>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</si>
  <si>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</si>
  <si>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</si>
  <si>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</si>
  <si>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</si>
  <si>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</si>
  <si>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</si>
  <si>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</si>
  <si>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七、文化旅游体育与传媒支出</t>
  </si>
  <si>
    <t xml:space="preserve">    文化和旅游</t>
  </si>
  <si>
    <t xml:space="preserve">    文物</t>
  </si>
  <si>
    <t xml:space="preserve">    体育</t>
  </si>
  <si>
    <t xml:space="preserve">    新闻出版电影</t>
  </si>
  <si>
    <t xml:space="preserve">    广播电视</t>
  </si>
  <si>
    <t xml:space="preserve">    其他文化体育与传媒支出</t>
  </si>
  <si>
    <t>八、社会保障和就业支出</t>
  </si>
  <si>
    <t xml:space="preserve">    人力资源和社会保障管理事务</t>
  </si>
  <si>
    <t xml:space="preserve">    民政管理事务</t>
  </si>
  <si>
    <t xml:space="preserve">    补充全国社会保障基金</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</si>
  <si>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</si>
  <si>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</si>
  <si>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</si>
  <si>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</si>
  <si>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</si>
  <si>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</si>
  <si>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</si>
  <si>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</si>
  <si>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</si>
  <si>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</si>
  <si>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</si>
  <si>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</si>
  <si>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</si>
  <si>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</si>
  <si>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</si>
  <si>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</si>
  <si>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r>
      <rPr>
        <sz val="9"/>
        <rFont val="宋体"/>
        <charset val="134"/>
      </rPr>
      <t xml:space="preserve"> </t>
    </r>
    <r>
      <rPr>
        <sz val="9"/>
        <rFont val="宋体"/>
        <charset val="134"/>
      </rPr>
      <t xml:space="preserve">   </t>
    </r>
    <r>
      <rPr>
        <sz val="9"/>
        <rFont val="宋体"/>
        <charset val="134"/>
      </rPr>
      <t>财政代缴社会保险费支出</t>
    </r>
  </si>
  <si>
    <t xml:space="preserve">    其他社会保障和就业支出</t>
  </si>
  <si>
    <t>九、卫生健康支出</t>
  </si>
  <si>
    <t xml:space="preserve">    卫生健康管理事务</t>
  </si>
  <si>
    <t xml:space="preserve">    公立医院</t>
  </si>
  <si>
    <t xml:space="preserve">    基层医疗卫生机构</t>
  </si>
  <si>
    <t xml:space="preserve">    公共卫生</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</si>
  <si>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</si>
  <si>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</si>
  <si>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</si>
  <si>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</si>
  <si>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</si>
  <si>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</si>
  <si>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</si>
  <si>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t>
  </si>
  <si>
    <t xml:space="preserve">    疾病预防控制事务</t>
  </si>
  <si>
    <t xml:space="preserve">    其他卫生健康支出</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</si>
  <si>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</si>
  <si>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</si>
  <si>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</si>
  <si>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</si>
  <si>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</si>
  <si>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</si>
  <si>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</si>
  <si>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</si>
  <si>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</si>
  <si>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</si>
  <si>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</si>
  <si>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</si>
  <si>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</si>
  <si>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</si>
  <si>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</si>
  <si>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</si>
  <si>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十一、城乡社区支出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</si>
  <si>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</si>
  <si>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</si>
  <si>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</si>
  <si>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</si>
  <si>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</si>
  <si>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</si>
  <si>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十二、农林水支出</t>
  </si>
  <si>
    <t xml:space="preserve">      农业</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</si>
  <si>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</si>
  <si>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</si>
  <si>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</si>
  <si>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</si>
  <si>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</si>
  <si>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</si>
  <si>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</si>
  <si>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</si>
  <si>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</si>
  <si>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</si>
  <si>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</si>
  <si>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</si>
  <si>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</si>
  <si>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</si>
  <si>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</si>
  <si>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</si>
  <si>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</si>
  <si>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</si>
  <si>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</si>
  <si>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</si>
  <si>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</si>
  <si>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</si>
  <si>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</si>
  <si>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十五、商业服务业等支出</t>
  </si>
  <si>
    <t xml:space="preserve">      商业流通事务</t>
  </si>
  <si>
    <t xml:space="preserve">      涉外发展服务支出</t>
  </si>
  <si>
    <t xml:space="preserve">      其他商业服务业等支出</t>
  </si>
  <si>
    <t>十六、金融支出</t>
  </si>
  <si>
    <t xml:space="preserve">     金融部门行政支出</t>
  </si>
  <si>
    <t xml:space="preserve">     金融部门监管支出</t>
  </si>
  <si>
    <t xml:space="preserve">      金融部门行政支出</t>
  </si>
  <si>
    <t xml:space="preserve">      金融发展支出</t>
  </si>
  <si>
    <t xml:space="preserve">      其他金融支出</t>
  </si>
  <si>
    <t>十七、援助其他地区支出</t>
  </si>
  <si>
    <t xml:space="preserve">      农业农村</t>
  </si>
  <si>
    <t>十八、自然资源海洋气象等支出</t>
  </si>
  <si>
    <t xml:space="preserve">      自然资源事务</t>
  </si>
  <si>
    <t xml:space="preserve">      海洋管理事务</t>
  </si>
  <si>
    <t xml:space="preserve">      测绘事务</t>
  </si>
  <si>
    <t xml:space="preserve">      气象事务</t>
  </si>
  <si>
    <t xml:space="preserve">      其他自然资源海洋气象等支出</t>
  </si>
  <si>
    <t>十九、住房保障支出</t>
  </si>
  <si>
    <t xml:space="preserve">      保障性安居工程支出</t>
  </si>
  <si>
    <t xml:space="preserve">      住房改革支出</t>
  </si>
  <si>
    <t xml:space="preserve">      城乡社区住宅</t>
  </si>
  <si>
    <t>二十、粮油物资储备支出</t>
  </si>
  <si>
    <t xml:space="preserve">      粮油物资事务</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</si>
  <si>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</si>
  <si>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</si>
  <si>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</si>
  <si>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</si>
  <si>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</si>
  <si>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</si>
  <si>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</si>
  <si>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</si>
  <si>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</si>
  <si>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</si>
  <si>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</si>
  <si>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</si>
  <si>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二十二、预备费</t>
  </si>
  <si>
    <t>二十三、其他支出</t>
  </si>
  <si>
    <t/>
  </si>
  <si>
    <t xml:space="preserve">        年初预留</t>
  </si>
  <si>
    <t xml:space="preserve">        其他支出</t>
  </si>
  <si>
    <t>二十四、转移性支出</t>
  </si>
  <si>
    <t xml:space="preserve">    上解支出</t>
  </si>
  <si>
    <t xml:space="preserve">    年终结余</t>
  </si>
  <si>
    <t xml:space="preserve">    安排预算稳定调节基金</t>
  </si>
  <si>
    <t>二十五、债务还本支出</t>
  </si>
  <si>
    <t>二十六、债务付息支出</t>
  </si>
  <si>
    <t xml:space="preserve">      地方政府一般债务付息支出</t>
  </si>
  <si>
    <t>二十七、债务发行费用支出</t>
  </si>
  <si>
    <t xml:space="preserve">      地方政府一般债务发行费用支出</t>
  </si>
  <si>
    <t>支出合计</t>
  </si>
  <si>
    <t>表四、2024年公共财政支出预算变动及结余情况表</t>
  </si>
  <si>
    <t>科目编码</t>
  </si>
  <si>
    <t>科目名称</t>
  </si>
  <si>
    <t>年初预算数</t>
  </si>
  <si>
    <t>变动金额</t>
  </si>
  <si>
    <t>预算变动数</t>
  </si>
  <si>
    <t>预算结余</t>
  </si>
  <si>
    <t>结转下年使用数</t>
  </si>
  <si>
    <t>小计</t>
  </si>
  <si>
    <t>专项转移支付</t>
  </si>
  <si>
    <t>一般性转
移支付</t>
  </si>
  <si>
    <t>市级专项
补助</t>
  </si>
  <si>
    <t>税收返还性收入补助</t>
  </si>
  <si>
    <t>动支预
备费</t>
  </si>
  <si>
    <t>科目调剂</t>
  </si>
  <si>
    <t>本年超收、短收安排</t>
  </si>
  <si>
    <t>债券转贷收入</t>
  </si>
  <si>
    <t>动用预算稳定调节基金</t>
  </si>
  <si>
    <t>调入资金</t>
  </si>
  <si>
    <t>上年结余</t>
  </si>
  <si>
    <t>公共财政支出</t>
  </si>
  <si>
    <t>201</t>
  </si>
  <si>
    <t>20101</t>
  </si>
  <si>
    <t>20102</t>
  </si>
  <si>
    <t>20103</t>
  </si>
  <si>
    <t>20104</t>
  </si>
  <si>
    <t>20105</t>
  </si>
  <si>
    <t>20106</t>
  </si>
  <si>
    <t>20107</t>
  </si>
  <si>
    <t>20108</t>
  </si>
  <si>
    <t>20109</t>
  </si>
  <si>
    <t>20110</t>
  </si>
  <si>
    <t>20111</t>
  </si>
  <si>
    <t>20113</t>
  </si>
  <si>
    <t>20114</t>
  </si>
  <si>
    <t>20123</t>
  </si>
  <si>
    <t>20125</t>
  </si>
  <si>
    <t>20126</t>
  </si>
  <si>
    <t>20128</t>
  </si>
  <si>
    <t>20129</t>
  </si>
  <si>
    <t>20131</t>
  </si>
  <si>
    <t>20132</t>
  </si>
  <si>
    <t>20133</t>
  </si>
  <si>
    <t>20134</t>
  </si>
  <si>
    <t>20135</t>
  </si>
  <si>
    <t>20136</t>
  </si>
  <si>
    <t>20137</t>
  </si>
  <si>
    <t>20138</t>
  </si>
  <si>
    <t>20139</t>
  </si>
  <si>
    <t>20140</t>
  </si>
  <si>
    <t>20199</t>
  </si>
  <si>
    <t>202</t>
  </si>
  <si>
    <t>20205</t>
  </si>
  <si>
    <t>20299</t>
  </si>
  <si>
    <t>203</t>
  </si>
  <si>
    <t>20306</t>
  </si>
  <si>
    <t>20399</t>
  </si>
  <si>
    <t>204</t>
  </si>
  <si>
    <t>20401</t>
  </si>
  <si>
    <t>20402</t>
  </si>
  <si>
    <t>20403</t>
  </si>
  <si>
    <t>20404</t>
  </si>
  <si>
    <t>20405</t>
  </si>
  <si>
    <t>20406</t>
  </si>
  <si>
    <t>20407</t>
  </si>
  <si>
    <t>20408</t>
  </si>
  <si>
    <t>20409</t>
  </si>
  <si>
    <t>20410</t>
  </si>
  <si>
    <t>20499</t>
  </si>
  <si>
    <t>205</t>
  </si>
  <si>
    <t>20501</t>
  </si>
  <si>
    <t>20502</t>
  </si>
  <si>
    <t>20503</t>
  </si>
  <si>
    <t>20504</t>
  </si>
  <si>
    <t>20505</t>
  </si>
  <si>
    <t>20506</t>
  </si>
  <si>
    <t>20507</t>
  </si>
  <si>
    <t>20508</t>
  </si>
  <si>
    <t>20509</t>
  </si>
  <si>
    <t>20599</t>
  </si>
  <si>
    <t>206</t>
  </si>
  <si>
    <t>20601</t>
  </si>
  <si>
    <t>20602</t>
  </si>
  <si>
    <t>20603</t>
  </si>
  <si>
    <t>20604</t>
  </si>
  <si>
    <t>20605</t>
  </si>
  <si>
    <t>20606</t>
  </si>
  <si>
    <t>20607</t>
  </si>
  <si>
    <t>20608</t>
  </si>
  <si>
    <t>20609</t>
  </si>
  <si>
    <t>20699</t>
  </si>
  <si>
    <t>207</t>
  </si>
  <si>
    <t>20701</t>
  </si>
  <si>
    <t>20702</t>
  </si>
  <si>
    <t>20703</t>
  </si>
  <si>
    <t>20706</t>
  </si>
  <si>
    <t>20708</t>
  </si>
  <si>
    <t>20799</t>
  </si>
  <si>
    <t>208</t>
  </si>
  <si>
    <t>20801</t>
  </si>
  <si>
    <t>20802</t>
  </si>
  <si>
    <t>20804</t>
  </si>
  <si>
    <t>20805</t>
  </si>
  <si>
    <t xml:space="preserve">    行政事业单位养老支出</t>
  </si>
  <si>
    <t>20806</t>
  </si>
  <si>
    <t>20807</t>
  </si>
  <si>
    <t>20808</t>
  </si>
  <si>
    <t>20809</t>
  </si>
  <si>
    <t>20810</t>
  </si>
  <si>
    <t>20811</t>
  </si>
  <si>
    <t>20816</t>
  </si>
  <si>
    <t>20819</t>
  </si>
  <si>
    <t>20820</t>
  </si>
  <si>
    <t>20821</t>
  </si>
  <si>
    <t>20824</t>
  </si>
  <si>
    <t>20825</t>
  </si>
  <si>
    <t>20826</t>
  </si>
  <si>
    <t>20827</t>
  </si>
  <si>
    <t>20828</t>
  </si>
  <si>
    <t>20830</t>
  </si>
  <si>
    <t xml:space="preserve">    财政代缴社会保险费支出</t>
  </si>
  <si>
    <t>20899</t>
  </si>
  <si>
    <t>210</t>
  </si>
  <si>
    <t>21001</t>
  </si>
  <si>
    <t>21002</t>
  </si>
  <si>
    <t>21003</t>
  </si>
  <si>
    <t>21004</t>
  </si>
  <si>
    <t>21007</t>
  </si>
  <si>
    <t>21011</t>
  </si>
  <si>
    <t>21012</t>
  </si>
  <si>
    <t>21013</t>
  </si>
  <si>
    <t>21014</t>
  </si>
  <si>
    <t>21015</t>
  </si>
  <si>
    <t>21016</t>
  </si>
  <si>
    <t>21017</t>
  </si>
  <si>
    <t>21018</t>
  </si>
  <si>
    <t>21099</t>
  </si>
  <si>
    <t>211</t>
  </si>
  <si>
    <t>21101</t>
  </si>
  <si>
    <t>21102</t>
  </si>
  <si>
    <t>21103</t>
  </si>
  <si>
    <t>21104</t>
  </si>
  <si>
    <t>21105</t>
  </si>
  <si>
    <t>21106</t>
  </si>
  <si>
    <t xml:space="preserve">    退耕还林还草</t>
  </si>
  <si>
    <t>21107</t>
  </si>
  <si>
    <t>21108</t>
  </si>
  <si>
    <t>21109</t>
  </si>
  <si>
    <t>21110</t>
  </si>
  <si>
    <t>21111</t>
  </si>
  <si>
    <t>21112</t>
  </si>
  <si>
    <t>21113</t>
  </si>
  <si>
    <t>21114</t>
  </si>
  <si>
    <t>21199</t>
  </si>
  <si>
    <t>212</t>
  </si>
  <si>
    <t>21201</t>
  </si>
  <si>
    <t>21202</t>
  </si>
  <si>
    <t>21203</t>
  </si>
  <si>
    <t>21205</t>
  </si>
  <si>
    <t>21206</t>
  </si>
  <si>
    <t>21299</t>
  </si>
  <si>
    <t>213</t>
  </si>
  <si>
    <t>21301</t>
  </si>
  <si>
    <t>21302</t>
  </si>
  <si>
    <t>21303</t>
  </si>
  <si>
    <t>21305</t>
  </si>
  <si>
    <t xml:space="preserve">       巩固脱贫攻坚成果衔接乡村振兴</t>
  </si>
  <si>
    <t>21307</t>
  </si>
  <si>
    <t>21308</t>
  </si>
  <si>
    <t>21309</t>
  </si>
  <si>
    <t>21399</t>
  </si>
  <si>
    <t>214</t>
  </si>
  <si>
    <t>21401</t>
  </si>
  <si>
    <t>21402</t>
  </si>
  <si>
    <t>21403</t>
  </si>
  <si>
    <t>21404</t>
  </si>
  <si>
    <t>21405</t>
  </si>
  <si>
    <t>21406</t>
  </si>
  <si>
    <t>21499</t>
  </si>
  <si>
    <t>215</t>
  </si>
  <si>
    <t>21501</t>
  </si>
  <si>
    <t>21502</t>
  </si>
  <si>
    <t>21503</t>
  </si>
  <si>
    <t>21505</t>
  </si>
  <si>
    <t>21507</t>
  </si>
  <si>
    <t>21508</t>
  </si>
  <si>
    <t>21599</t>
  </si>
  <si>
    <t>216</t>
  </si>
  <si>
    <t>21602</t>
  </si>
  <si>
    <t>21606</t>
  </si>
  <si>
    <t>21699</t>
  </si>
  <si>
    <t>217</t>
  </si>
  <si>
    <t>21701</t>
  </si>
  <si>
    <t>21703</t>
  </si>
  <si>
    <t>21799</t>
  </si>
  <si>
    <t>219</t>
  </si>
  <si>
    <t>21901</t>
  </si>
  <si>
    <t>21902</t>
  </si>
  <si>
    <t>21903</t>
  </si>
  <si>
    <t>21904</t>
  </si>
  <si>
    <t>21905</t>
  </si>
  <si>
    <t>21906</t>
  </si>
  <si>
    <t>21907</t>
  </si>
  <si>
    <t>21908</t>
  </si>
  <si>
    <t>21999</t>
  </si>
  <si>
    <t>220</t>
  </si>
  <si>
    <t>22001</t>
  </si>
  <si>
    <t>22002</t>
  </si>
  <si>
    <t>22003</t>
  </si>
  <si>
    <t>22005</t>
  </si>
  <si>
    <t>22099</t>
  </si>
  <si>
    <t>221</t>
  </si>
  <si>
    <t>22101</t>
  </si>
  <si>
    <t>22102</t>
  </si>
  <si>
    <t>22103</t>
  </si>
  <si>
    <t>222</t>
  </si>
  <si>
    <t>22201</t>
  </si>
  <si>
    <t>22203</t>
  </si>
  <si>
    <t>22204</t>
  </si>
  <si>
    <t>22205</t>
  </si>
  <si>
    <t>224</t>
  </si>
  <si>
    <t>22401</t>
  </si>
  <si>
    <t>22402</t>
  </si>
  <si>
    <t>22403</t>
  </si>
  <si>
    <t>22404</t>
  </si>
  <si>
    <t>22405</t>
  </si>
  <si>
    <t>22406</t>
  </si>
  <si>
    <t>22407</t>
  </si>
  <si>
    <t>22499</t>
  </si>
  <si>
    <t>227</t>
  </si>
  <si>
    <t>229</t>
  </si>
  <si>
    <t>22902</t>
  </si>
  <si>
    <t>22999</t>
  </si>
  <si>
    <t>230</t>
  </si>
  <si>
    <t>23006</t>
  </si>
  <si>
    <t>23009</t>
  </si>
  <si>
    <t>23015</t>
  </si>
  <si>
    <t>231</t>
  </si>
  <si>
    <t>23101</t>
  </si>
  <si>
    <t xml:space="preserve">  中央政府国内债务还本支出</t>
  </si>
  <si>
    <t>23102</t>
  </si>
  <si>
    <t xml:space="preserve">  中央政府国外债务还本支出</t>
  </si>
  <si>
    <t>23103</t>
  </si>
  <si>
    <t>232</t>
  </si>
  <si>
    <t>23203</t>
  </si>
  <si>
    <t xml:space="preserve">  地方政府一般债务付息支出</t>
  </si>
  <si>
    <t>233</t>
  </si>
  <si>
    <t>23303</t>
  </si>
  <si>
    <t xml:space="preserve">  地方政府一般债务发行费用支出</t>
  </si>
  <si>
    <t>表五、2024年政府性基金预算收支执行明细表</t>
  </si>
  <si>
    <t>隐藏列</t>
  </si>
  <si>
    <r>
      <rPr>
        <b/>
        <sz val="9"/>
        <rFont val="宋体"/>
        <charset val="134"/>
      </rPr>
      <t>预算调整</t>
    </r>
    <r>
      <rPr>
        <b/>
        <sz val="9"/>
        <rFont val="宋体"/>
        <charset val="134"/>
      </rPr>
      <t>数</t>
    </r>
  </si>
  <si>
    <t>年初本级收入</t>
  </si>
  <si>
    <t>本级收入变动（+-）</t>
  </si>
  <si>
    <t>年初上级转移支付收入</t>
  </si>
  <si>
    <t>上级转移支付收入变动（+-）</t>
  </si>
  <si>
    <t>上年结余数</t>
  </si>
  <si>
    <t>上年结余年度（+-）</t>
  </si>
  <si>
    <t>科目调整</t>
  </si>
  <si>
    <t>收入预算</t>
  </si>
  <si>
    <t>结转下年</t>
  </si>
  <si>
    <t>一、政府性基金收入(款)</t>
  </si>
  <si>
    <t>一、科学技术支出</t>
  </si>
  <si>
    <t xml:space="preserve">  农网还贷资金收入</t>
  </si>
  <si>
    <t xml:space="preserve">    核电站乏燃料处理处置基金支出</t>
  </si>
  <si>
    <t xml:space="preserve">    中央农网还贷资金收入</t>
  </si>
  <si>
    <t xml:space="preserve">      乏燃料运输</t>
  </si>
  <si>
    <t xml:space="preserve">    地方农网还贷资金收入</t>
  </si>
  <si>
    <t xml:space="preserve">      乏燃料离堆贮存</t>
  </si>
  <si>
    <t xml:space="preserve">  铁路建设基金收入</t>
  </si>
  <si>
    <t xml:space="preserve">      乏燃料后处理</t>
  </si>
  <si>
    <t xml:space="preserve">  民航发展基金收入</t>
  </si>
  <si>
    <t xml:space="preserve">      高放废物的处理处置</t>
  </si>
  <si>
    <t xml:space="preserve">  海南省高等级公路车辆通行附加费收入</t>
  </si>
  <si>
    <t xml:space="preserve">       乏燃料后处理厂的建设、运行、改造和退役</t>
  </si>
  <si>
    <t xml:space="preserve">  旅游发展基金收入</t>
  </si>
  <si>
    <t xml:space="preserve">       其他乏燃料处理处置基金支出</t>
  </si>
  <si>
    <t xml:space="preserve">  国家电影事业发展专项资金收入</t>
  </si>
  <si>
    <t>二、文化旅游体育与传媒支出</t>
  </si>
  <si>
    <t xml:space="preserve">  国有土地收益基金收入</t>
  </si>
  <si>
    <t xml:space="preserve">    国家电影事业发展专项资金安排的支出</t>
  </si>
  <si>
    <t xml:space="preserve">  农业土地开发资金收入</t>
  </si>
  <si>
    <t xml:space="preserve">       资助国产影片放映</t>
  </si>
  <si>
    <t xml:space="preserve">  国有土地使用权出让收入</t>
  </si>
  <si>
    <t xml:space="preserve">       资助影院建设</t>
  </si>
  <si>
    <t xml:space="preserve">    土地出让价款收入</t>
  </si>
  <si>
    <t xml:space="preserve">      资助少数民族语电影译制</t>
  </si>
  <si>
    <t xml:space="preserve">    补缴的土地价款</t>
  </si>
  <si>
    <t xml:space="preserve">      购买农村电影公益性放映版权服务</t>
  </si>
  <si>
    <t xml:space="preserve">    划拨土地收入</t>
  </si>
  <si>
    <t xml:space="preserve">      其他国家电影事业发展专项资金支出</t>
  </si>
  <si>
    <t xml:space="preserve">    缴纳新增建设用地土地有偿使用费</t>
  </si>
  <si>
    <t xml:space="preserve">    旅游发展基金支出</t>
  </si>
  <si>
    <t xml:space="preserve">    其他土地出让收入</t>
  </si>
  <si>
    <t xml:space="preserve">      宣传促销</t>
  </si>
  <si>
    <t xml:space="preserve">  大中型水库移民后期扶持基金收入</t>
  </si>
  <si>
    <t xml:space="preserve">      行业规划</t>
  </si>
  <si>
    <t xml:space="preserve">  大中型水库库区基金收入</t>
  </si>
  <si>
    <t xml:space="preserve">      旅游事业补助</t>
  </si>
  <si>
    <t xml:space="preserve">    中央大中型水库库区基金收入</t>
  </si>
  <si>
    <t xml:space="preserve">      地方旅游开发项目补助</t>
  </si>
  <si>
    <t xml:space="preserve">    地方大中型水库库区基金收入</t>
  </si>
  <si>
    <t xml:space="preserve">      其他旅游发展基金支出</t>
  </si>
  <si>
    <t xml:space="preserve">  三峡水库库区基金收入</t>
  </si>
  <si>
    <t xml:space="preserve">    国家电影事业发展专项资金对应专项债务收入安排的支出</t>
  </si>
  <si>
    <t xml:space="preserve">  中央特别国债经营基金收入</t>
  </si>
  <si>
    <t xml:space="preserve">      资助城市影院</t>
  </si>
  <si>
    <t xml:space="preserve">  中央特别国债经营基金财务收入</t>
  </si>
  <si>
    <t xml:space="preserve">      其他国家电影事业发展专项资金对应专项债务收入支出</t>
  </si>
  <si>
    <t xml:space="preserve">  彩票公益金收入</t>
  </si>
  <si>
    <t>三、节能环保支出</t>
  </si>
  <si>
    <t xml:space="preserve">    福利彩票公益金收入</t>
  </si>
  <si>
    <t xml:space="preserve">    可再生能源电价附加收入安排的支出</t>
  </si>
  <si>
    <t xml:space="preserve">    体育彩票公益金收入</t>
  </si>
  <si>
    <t xml:space="preserve">      风力发电补助</t>
  </si>
  <si>
    <t xml:space="preserve">  城市基础设施配套费收入</t>
  </si>
  <si>
    <t xml:space="preserve">      太阳能发电补助</t>
  </si>
  <si>
    <t xml:space="preserve">  小型水库移民扶助基金收入</t>
  </si>
  <si>
    <t xml:space="preserve">      生物质能发电补助</t>
  </si>
  <si>
    <t xml:space="preserve">  国家重大水利工程建设基金收入</t>
  </si>
  <si>
    <t xml:space="preserve">      其他可再生能源电价附加收入安排的支出</t>
  </si>
  <si>
    <t xml:space="preserve">    中央重大水利工程建设资金</t>
  </si>
  <si>
    <t xml:space="preserve">    废弃电器电子产品处理基金支出</t>
  </si>
  <si>
    <t xml:space="preserve">    地方重大水利工程建设资金</t>
  </si>
  <si>
    <t xml:space="preserve">      回收处理费用补贴</t>
  </si>
  <si>
    <t xml:space="preserve">  车辆通行费</t>
  </si>
  <si>
    <t xml:space="preserve">      信息系统建设</t>
  </si>
  <si>
    <t xml:space="preserve">  核电站乏燃料处理处置基金收入</t>
  </si>
  <si>
    <t xml:space="preserve">      基金征管经费</t>
  </si>
  <si>
    <t xml:space="preserve">  可再生能源电价附加收入</t>
  </si>
  <si>
    <t xml:space="preserve">      其他废弃电器电子产品处理基金支出</t>
  </si>
  <si>
    <t xml:space="preserve">  船舶油污损害赔偿基金收入</t>
  </si>
  <si>
    <t>四、城乡社区支出</t>
  </si>
  <si>
    <t xml:space="preserve">  废弃电器电子产品处理基金收入</t>
  </si>
  <si>
    <t xml:space="preserve">    国有土地使用权出让收入安排的支出</t>
  </si>
  <si>
    <t xml:space="preserve">    税务部门征收的废弃电器电子产品处理基金收入</t>
  </si>
  <si>
    <t xml:space="preserve">      征地和拆迁补偿支出</t>
  </si>
  <si>
    <t xml:space="preserve">    海关征收的废弃电器电子产品处理基金收入</t>
  </si>
  <si>
    <t xml:space="preserve">      土地开发支出</t>
  </si>
  <si>
    <t xml:space="preserve">  污水处理费收入</t>
  </si>
  <si>
    <t xml:space="preserve">      城市建设支出</t>
  </si>
  <si>
    <t xml:space="preserve">  彩票发行机构和彩票销售机构的业务费用</t>
  </si>
  <si>
    <t xml:space="preserve">      农村基础设施建设支出</t>
  </si>
  <si>
    <t xml:space="preserve">    福利彩票发行机构的业务费用</t>
  </si>
  <si>
    <t xml:space="preserve">      补助被征地农民支出</t>
  </si>
  <si>
    <t xml:space="preserve">    体育彩票发行机构的业务费用</t>
  </si>
  <si>
    <t xml:space="preserve">      土地出让业务支出</t>
  </si>
  <si>
    <t xml:space="preserve">    福利彩票销售机构的业务费用</t>
  </si>
  <si>
    <t xml:space="preserve">      廉租住房支出</t>
  </si>
  <si>
    <t xml:space="preserve">    体育彩票销售机构的业务费用</t>
  </si>
  <si>
    <t xml:space="preserve">      支付破产或改制企业职工安置费</t>
  </si>
  <si>
    <t xml:space="preserve">    彩票兑奖周转金</t>
  </si>
  <si>
    <t xml:space="preserve">      棚户区改造支出</t>
  </si>
  <si>
    <t xml:space="preserve">    彩票发行销售风险基金</t>
  </si>
  <si>
    <t xml:space="preserve">      公共租赁住房支出</t>
  </si>
  <si>
    <t xml:space="preserve">    彩票市场调控资金收入</t>
  </si>
  <si>
    <t xml:space="preserve">      保障性住房租金补贴</t>
  </si>
  <si>
    <t xml:space="preserve">  抗疫特别国债财务基金收入</t>
  </si>
  <si>
    <t xml:space="preserve">      农业生产发展支出</t>
  </si>
  <si>
    <t xml:space="preserve">  其他政府性基金收入</t>
  </si>
  <si>
    <t xml:space="preserve">      农村社会事业支出</t>
  </si>
  <si>
    <t>二、专项债务对应项目专项收入</t>
  </si>
  <si>
    <t xml:space="preserve">      农业农村生态环境支出</t>
  </si>
  <si>
    <t xml:space="preserve">  海南省高等级公路车辆通行附加费专项债务对应项目专项收入  </t>
  </si>
  <si>
    <t xml:space="preserve">      其他国有土地使用权出让收入安排的支出</t>
  </si>
  <si>
    <t xml:space="preserve">  国家电影事业发展专项资金专项债务对应项目专项收入  </t>
  </si>
  <si>
    <t xml:space="preserve">    国有土地收益基金安排的支出</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</si>
  <si>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</si>
  <si>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</si>
  <si>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</si>
  <si>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其他国有土地收益基金支出</t>
  </si>
  <si>
    <t xml:space="preserve">    其他国有土地使用权出让金专项债务对应项目专项收入  </t>
  </si>
  <si>
    <t xml:space="preserve">    农业土地开发资金安排的支出</t>
  </si>
  <si>
    <t xml:space="preserve">  农业土地开发资金专项债务对应项目专项收入  </t>
  </si>
  <si>
    <t xml:space="preserve">   城市基础设施配套费安排的支出</t>
  </si>
  <si>
    <t xml:space="preserve">  大中型水库库区基金专项债务对应项目专项收入  </t>
  </si>
  <si>
    <t xml:space="preserve">      城市公共设施</t>
  </si>
  <si>
    <t xml:space="preserve">  城市基础设施配套费专项债务对应项目专项收入  </t>
  </si>
  <si>
    <t xml:space="preserve">      城市环境卫生</t>
  </si>
  <si>
    <t xml:space="preserve">  小型水库移民扶助基金专项债务对应项目专项收入  </t>
  </si>
  <si>
    <t xml:space="preserve">      公有房屋</t>
  </si>
  <si>
    <t xml:space="preserve">  国家重大水利工程建设基金专项债务对应项目专项收入  </t>
  </si>
  <si>
    <t xml:space="preserve">      城市防洪</t>
  </si>
  <si>
    <t xml:space="preserve">  车辆通行费专项债务对应项目专项收入  </t>
  </si>
  <si>
    <t xml:space="preserve">      其他城市基础设施配套费安排的支出</t>
  </si>
  <si>
    <t xml:space="preserve">    政府收费公路专项债券对应项目专项收入  </t>
  </si>
  <si>
    <t xml:space="preserve">    污水处理费安排的支出</t>
  </si>
  <si>
    <t xml:space="preserve">    其他车辆通行费专项债务对应项目专项收入  </t>
  </si>
  <si>
    <t xml:space="preserve">      污水处理设施建设和运营</t>
  </si>
  <si>
    <t xml:space="preserve">  污水处理费专项债务对应项目专项收入  </t>
  </si>
  <si>
    <t xml:space="preserve">      代征手续费</t>
  </si>
  <si>
    <t xml:space="preserve">  其他政府性基金专项债务对应项目专项收入  </t>
  </si>
  <si>
    <t xml:space="preserve">      其他污水处理费安排的支出</t>
  </si>
  <si>
    <t xml:space="preserve">    其他地方自行试点项目收益专项债券对应项目专项收入  </t>
  </si>
  <si>
    <t xml:space="preserve">    土地储备专项债券收入安排的支出</t>
  </si>
  <si>
    <t xml:space="preserve">    其他政府性基金专项债务对应项目专项收入  </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</si>
  <si>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</si>
  <si>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</si>
  <si>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</si>
  <si>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</si>
  <si>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</si>
  <si>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</si>
  <si>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</si>
  <si>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</si>
  <si>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</si>
  <si>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</si>
  <si>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</si>
  <si>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</si>
  <si>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</si>
  <si>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</si>
  <si>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</si>
  <si>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</si>
  <si>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</si>
  <si>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</si>
  <si>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</si>
  <si>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</si>
  <si>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</si>
  <si>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</si>
  <si>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</si>
  <si>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</si>
  <si>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</si>
  <si>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</si>
  <si>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</si>
  <si>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</si>
  <si>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</si>
  <si>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</si>
  <si>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其他大中型水利移民后期扶持基金支出</t>
  </si>
  <si>
    <t xml:space="preserve">    小型水库移民扶助基金安排的支出</t>
  </si>
  <si>
    <t xml:space="preserve">      其他小型水库移民扶助基金安排的支出</t>
  </si>
  <si>
    <t xml:space="preserve">    小型水库移民扶助基金对应专项债务安排的支出</t>
  </si>
  <si>
    <t xml:space="preserve">      其他小型水库移民扶助基金对应专项债务安排的支出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</si>
  <si>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</si>
  <si>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</si>
  <si>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</si>
  <si>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</si>
  <si>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</si>
  <si>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</si>
  <si>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</si>
  <si>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</si>
  <si>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</si>
  <si>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</si>
  <si>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</si>
  <si>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</si>
  <si>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</si>
  <si>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</si>
  <si>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</si>
  <si>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</si>
  <si>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</si>
  <si>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</si>
  <si>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</si>
  <si>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</si>
  <si>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</si>
  <si>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</si>
  <si>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</si>
  <si>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</si>
  <si>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</si>
  <si>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</si>
  <si>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</si>
  <si>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</si>
  <si>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</si>
  <si>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</si>
  <si>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</si>
  <si>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</si>
  <si>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</si>
  <si>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</si>
  <si>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</si>
  <si>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</si>
  <si>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</si>
  <si>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</si>
  <si>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</si>
  <si>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</si>
  <si>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</si>
  <si>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</si>
  <si>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</si>
  <si>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</si>
  <si>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</si>
  <si>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</si>
  <si>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超长期特别国债安排的支出</t>
  </si>
  <si>
    <t>八、金融支出</t>
  </si>
  <si>
    <t xml:space="preserve">    金融调控支出</t>
  </si>
  <si>
    <t xml:space="preserve">      中央特别国债经营基金支出</t>
  </si>
  <si>
    <t xml:space="preserve">      中央特别国债经营基金财务支出</t>
  </si>
  <si>
    <t>九、其他支出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</si>
  <si>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</si>
  <si>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</si>
  <si>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</si>
  <si>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</si>
  <si>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</si>
  <si>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</si>
  <si>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</si>
  <si>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</si>
  <si>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</si>
  <si>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</si>
  <si>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</si>
  <si>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</si>
  <si>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</si>
  <si>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</si>
  <si>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</si>
  <si>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</si>
  <si>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</si>
  <si>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</si>
  <si>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</si>
  <si>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</si>
  <si>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</si>
  <si>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</si>
  <si>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</si>
  <si>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</si>
  <si>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</si>
  <si>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</si>
  <si>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十一、债务付息支出</t>
  </si>
  <si>
    <t>十一、债务发行费用支出</t>
  </si>
  <si>
    <t>十二、抗疫特别国债安排的支出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</si>
  <si>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</si>
  <si>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</si>
  <si>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</si>
  <si>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</si>
  <si>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</si>
  <si>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</si>
  <si>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</si>
  <si>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</si>
  <si>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地方政府债券收入</t>
  </si>
  <si>
    <t>债务还本支出</t>
  </si>
  <si>
    <t xml:space="preserve">  地方政府专项债务还本支出</t>
  </si>
  <si>
    <t xml:space="preserve">  抗疫特别国债还本支出</t>
  </si>
  <si>
    <t>表六、三江县2024年政府性基金预算支出来源变动表</t>
  </si>
  <si>
    <t>合计</t>
  </si>
  <si>
    <t>当年预算收入安排</t>
  </si>
  <si>
    <t>预算收入变动额(+-)</t>
  </si>
  <si>
    <t>转移支付收入安排</t>
  </si>
  <si>
    <t>转移支付收入年中变动数+-</t>
  </si>
  <si>
    <t>上年结余结算后变动+-</t>
  </si>
  <si>
    <t>政府债务资金</t>
  </si>
  <si>
    <t>其他资金</t>
  </si>
  <si>
    <t xml:space="preserve">    城市基础设施配套费安排的支出</t>
  </si>
  <si>
    <t xml:space="preserve">    小型水库移民扶助基金对应专项债务收入安排的支出</t>
  </si>
  <si>
    <t xml:space="preserve">    超长期特别国债安排的支出</t>
  </si>
  <si>
    <t>十、债务还本支出</t>
  </si>
  <si>
    <t>调出资金</t>
  </si>
  <si>
    <t xml:space="preserve">表七、三江县2024年社会保险基金预算执行情况    </t>
  </si>
  <si>
    <t>单位 ：万元</t>
  </si>
  <si>
    <t>收   入</t>
  </si>
  <si>
    <t>支    出</t>
  </si>
  <si>
    <t>科   目</t>
  </si>
  <si>
    <t>调整预算数</t>
  </si>
  <si>
    <t>执行数</t>
  </si>
  <si>
    <t>完成调整预算%</t>
  </si>
  <si>
    <t>1、机关事业基本养老基金收入</t>
  </si>
  <si>
    <t>1、机关事业基本养老基金支出</t>
  </si>
  <si>
    <t xml:space="preserve">   其中：机关事业保险费收入</t>
  </si>
  <si>
    <t xml:space="preserve">   其中：机关事业保险费支出</t>
  </si>
  <si>
    <t xml:space="preserve">         基本养老财政补助收入</t>
  </si>
  <si>
    <t xml:space="preserve">         丧葬抚恤补助支出</t>
  </si>
  <si>
    <t xml:space="preserve">         利息收入</t>
  </si>
  <si>
    <t xml:space="preserve">         其他支出</t>
  </si>
  <si>
    <t xml:space="preserve">         转移收入</t>
  </si>
  <si>
    <t xml:space="preserve">         转移支出</t>
  </si>
  <si>
    <t xml:space="preserve">         其他收入</t>
  </si>
  <si>
    <t xml:space="preserve">        上年结余</t>
  </si>
  <si>
    <t xml:space="preserve">     年末结余</t>
  </si>
  <si>
    <t>2、城乡居民社会养老保险基金收入</t>
  </si>
  <si>
    <t>2、城乡居民社会养老保险基金支出</t>
  </si>
  <si>
    <t xml:space="preserve">   其中：城乡居民基本养老缴费收入</t>
  </si>
  <si>
    <t xml:space="preserve">   其中：基础养老金支出</t>
  </si>
  <si>
    <t xml:space="preserve">         政府补贴收入</t>
  </si>
  <si>
    <t xml:space="preserve">         个人账户养老金支出</t>
  </si>
  <si>
    <t xml:space="preserve">         丧葬补助金支出</t>
  </si>
  <si>
    <t xml:space="preserve">         委托投资收益</t>
  </si>
  <si>
    <t xml:space="preserve">         转移性支出</t>
  </si>
  <si>
    <t xml:space="preserve">     上年结余</t>
  </si>
  <si>
    <t>合     计</t>
  </si>
  <si>
    <t>表八、三江县2024年国有资本经营预算收支执行情况表</t>
  </si>
  <si>
    <t>金额单位：万元</t>
  </si>
  <si>
    <r>
      <rPr>
        <b/>
        <sz val="10"/>
        <rFont val="宋体"/>
        <charset val="134"/>
      </rPr>
      <t>收</t>
    </r>
    <r>
      <rPr>
        <b/>
        <sz val="10"/>
        <rFont val="Times New Roman"/>
        <charset val="0"/>
      </rPr>
      <t xml:space="preserve">          </t>
    </r>
    <r>
      <rPr>
        <b/>
        <sz val="10"/>
        <rFont val="宋体"/>
        <charset val="134"/>
      </rPr>
      <t>入</t>
    </r>
  </si>
  <si>
    <r>
      <rPr>
        <b/>
        <sz val="10"/>
        <rFont val="宋体"/>
        <charset val="134"/>
      </rPr>
      <t>支</t>
    </r>
    <r>
      <rPr>
        <b/>
        <sz val="10"/>
        <rFont val="Times New Roman"/>
        <charset val="0"/>
      </rPr>
      <t xml:space="preserve">          </t>
    </r>
    <r>
      <rPr>
        <b/>
        <sz val="10"/>
        <rFont val="宋体"/>
        <charset val="134"/>
      </rPr>
      <t>出</t>
    </r>
  </si>
  <si>
    <r>
      <rPr>
        <b/>
        <sz val="10"/>
        <rFont val="宋体"/>
        <charset val="134"/>
      </rPr>
      <t>项</t>
    </r>
    <r>
      <rPr>
        <b/>
        <sz val="10"/>
        <rFont val="Times New Roman"/>
        <charset val="0"/>
      </rPr>
      <t xml:space="preserve">        </t>
    </r>
    <r>
      <rPr>
        <b/>
        <sz val="10"/>
        <rFont val="宋体"/>
        <charset val="134"/>
      </rPr>
      <t>目</t>
    </r>
  </si>
  <si>
    <t>2023年决算数</t>
  </si>
  <si>
    <t>2024年执行数</t>
  </si>
  <si>
    <t>省本级</t>
  </si>
  <si>
    <t>市、县级</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</si>
  <si>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</si>
  <si>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</si>
  <si>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</si>
  <si>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</si>
  <si>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</si>
  <si>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</si>
  <si>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</si>
  <si>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</si>
  <si>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</si>
  <si>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</si>
  <si>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</si>
  <si>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</si>
  <si>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</si>
  <si>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</si>
  <si>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</si>
  <si>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</si>
  <si>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国有资本经营预算调出资金</t>
  </si>
  <si>
    <t>收 入 总 计</t>
  </si>
  <si>
    <t>支 出 总 计</t>
  </si>
  <si>
    <t>表九、2024年“三公”经费预算执行情况表</t>
  </si>
  <si>
    <t>序号</t>
  </si>
  <si>
    <t>支出项目名称</t>
  </si>
  <si>
    <t>2024年预计执行数</t>
  </si>
  <si>
    <t>备注</t>
  </si>
  <si>
    <t>全口径三公合计</t>
  </si>
  <si>
    <t>其中：使用公共财政拨款</t>
  </si>
  <si>
    <t>完成预算%</t>
  </si>
  <si>
    <t>同比增减金额</t>
  </si>
  <si>
    <t>下降%</t>
  </si>
  <si>
    <t>因公出国经费</t>
  </si>
  <si>
    <t>公务接待费</t>
  </si>
  <si>
    <t>公务用车购置及运行费合计</t>
  </si>
  <si>
    <t>公务用车购置费</t>
  </si>
  <si>
    <t>公务用车运行维护费</t>
  </si>
  <si>
    <r>
      <rPr>
        <b/>
        <sz val="20"/>
        <rFont val="方正小标宋简体"/>
        <charset val="134"/>
      </rPr>
      <t>表十、三江县</t>
    </r>
    <r>
      <rPr>
        <b/>
        <sz val="20"/>
        <rFont val="宋体"/>
        <charset val="134"/>
      </rPr>
      <t>2024</t>
    </r>
    <r>
      <rPr>
        <b/>
        <sz val="20"/>
        <rFont val="方正小标宋简体"/>
        <charset val="134"/>
      </rPr>
      <t xml:space="preserve">年其他社会保障基金预算执行情况    </t>
    </r>
  </si>
  <si>
    <t>金  额</t>
  </si>
  <si>
    <t>1、就业补助资金</t>
  </si>
  <si>
    <t xml:space="preserve">   其中：财政补助收入</t>
  </si>
  <si>
    <t xml:space="preserve">   其中：就业补助支出</t>
  </si>
  <si>
    <t xml:space="preserve">         补充小额贷款担保助支出</t>
  </si>
  <si>
    <t>2、城乡最低生活保障金</t>
  </si>
  <si>
    <t xml:space="preserve">   其中：上级财政补贴收入</t>
  </si>
  <si>
    <t xml:space="preserve">   其中：城乡最低生活保障金支出</t>
  </si>
  <si>
    <t>3、城乡医疗救助</t>
  </si>
  <si>
    <t xml:space="preserve">   其中：财政补贴收入</t>
  </si>
  <si>
    <t xml:space="preserve">   其中：救助支出</t>
  </si>
  <si>
    <t>4、城乡临时救助</t>
  </si>
  <si>
    <t xml:space="preserve">    其中：  临时救助支出</t>
  </si>
  <si>
    <t>5、疾病应急救助基金</t>
  </si>
  <si>
    <t xml:space="preserve">   其中：疾病应急救支出</t>
  </si>
  <si>
    <t>6、小额贷款财政贴息基金</t>
  </si>
  <si>
    <t>√</t>
  </si>
  <si>
    <t xml:space="preserve">   其中： 额担保贷款贴息支出</t>
  </si>
  <si>
    <t>表十一、三江县2025年一般公共预算收入预算表</t>
  </si>
  <si>
    <r>
      <rPr>
        <b/>
        <sz val="12"/>
        <rFont val="宋体"/>
        <charset val="134"/>
      </rPr>
      <t>项</t>
    </r>
    <r>
      <rPr>
        <b/>
        <sz val="12"/>
        <rFont val="宋体"/>
        <charset val="134"/>
      </rPr>
      <t>目</t>
    </r>
  </si>
  <si>
    <t>2025年预算数</t>
  </si>
  <si>
    <t>比上年执行数增长%</t>
  </si>
  <si>
    <t xml:space="preserve">    其他税收收入</t>
  </si>
  <si>
    <t xml:space="preserve">    国有资本经营收入</t>
  </si>
  <si>
    <t xml:space="preserve"> </t>
  </si>
  <si>
    <t>表十二、三江县2025年一般公共预算支出表</t>
  </si>
  <si>
    <t>财力性专项</t>
  </si>
  <si>
    <t>上级专项</t>
  </si>
  <si>
    <t>上级结转</t>
  </si>
  <si>
    <t>县本级预留</t>
  </si>
  <si>
    <t>部门预算提取</t>
  </si>
  <si>
    <t>预算数为决算（执行）数%</t>
  </si>
  <si>
    <t>末级标识</t>
  </si>
  <si>
    <t>类</t>
  </si>
  <si>
    <t>款</t>
  </si>
  <si>
    <t>一般公共服务支出</t>
  </si>
  <si>
    <t>人大事务</t>
  </si>
  <si>
    <t>2010101</t>
  </si>
  <si>
    <t xml:space="preserve">      行政运行</t>
  </si>
  <si>
    <t>项</t>
  </si>
  <si>
    <t>行政运行</t>
  </si>
  <si>
    <t>2010102</t>
  </si>
  <si>
    <t xml:space="preserve">      一般行政管理事务</t>
  </si>
  <si>
    <t>一般行政管理事务</t>
  </si>
  <si>
    <t>2010103</t>
  </si>
  <si>
    <t xml:space="preserve">      机关服务</t>
  </si>
  <si>
    <t>机关服务</t>
  </si>
  <si>
    <t>2010104</t>
  </si>
  <si>
    <t xml:space="preserve">      人大会议</t>
  </si>
  <si>
    <t>人大会议</t>
  </si>
  <si>
    <t>2010105</t>
  </si>
  <si>
    <t xml:space="preserve">      人大立法</t>
  </si>
  <si>
    <t>人大立法</t>
  </si>
  <si>
    <t>2010106</t>
  </si>
  <si>
    <t xml:space="preserve">      人大监督</t>
  </si>
  <si>
    <t>人大监督</t>
  </si>
  <si>
    <t>2010107</t>
  </si>
  <si>
    <t xml:space="preserve">      人大代表履职能力提升</t>
  </si>
  <si>
    <t>人大代表履职能力提升</t>
  </si>
  <si>
    <t>2010108</t>
  </si>
  <si>
    <t xml:space="preserve">      代表工作</t>
  </si>
  <si>
    <t>代表工作</t>
  </si>
  <si>
    <t>2010109</t>
  </si>
  <si>
    <t xml:space="preserve">      人大信访工作</t>
  </si>
  <si>
    <t>人大信访工作</t>
  </si>
  <si>
    <t>2010150</t>
  </si>
  <si>
    <t xml:space="preserve">      事业运行</t>
  </si>
  <si>
    <t>事业运行</t>
  </si>
  <si>
    <t xml:space="preserve">                           </t>
  </si>
  <si>
    <t>2010199</t>
  </si>
  <si>
    <t xml:space="preserve">      其他人大事务支出</t>
  </si>
  <si>
    <t>其他人大事务支出</t>
  </si>
  <si>
    <t>政协事务</t>
  </si>
  <si>
    <t>2010201</t>
  </si>
  <si>
    <t>2010202</t>
  </si>
  <si>
    <t>2010203</t>
  </si>
  <si>
    <t>2010204</t>
  </si>
  <si>
    <t xml:space="preserve">      政协会议</t>
  </si>
  <si>
    <t>政协会议</t>
  </si>
  <si>
    <t>2010205</t>
  </si>
  <si>
    <t xml:space="preserve">      委员视察</t>
  </si>
  <si>
    <t>委员视察</t>
  </si>
  <si>
    <t>2010206</t>
  </si>
  <si>
    <t xml:space="preserve">      参政议政</t>
  </si>
  <si>
    <t>参政议政</t>
  </si>
  <si>
    <t>2010250</t>
  </si>
  <si>
    <t>2010299</t>
  </si>
  <si>
    <t xml:space="preserve">      其他政协事务支出</t>
  </si>
  <si>
    <t>其他政协事务支出</t>
  </si>
  <si>
    <t>政府办公厅（室）及相关机构事务</t>
  </si>
  <si>
    <t>2010301</t>
  </si>
  <si>
    <t>2010302</t>
  </si>
  <si>
    <t>2010303</t>
  </si>
  <si>
    <t>2010304</t>
  </si>
  <si>
    <t xml:space="preserve">      专项服务</t>
  </si>
  <si>
    <t>专项服务</t>
  </si>
  <si>
    <t>2010305</t>
  </si>
  <si>
    <t xml:space="preserve">      专项业务及机关事务管理</t>
  </si>
  <si>
    <t>专项业务活动</t>
  </si>
  <si>
    <t>2010306</t>
  </si>
  <si>
    <t xml:space="preserve">      政务公开审批</t>
  </si>
  <si>
    <t>政务公开审批</t>
  </si>
  <si>
    <t>2010309</t>
  </si>
  <si>
    <t xml:space="preserve">      参事事务</t>
  </si>
  <si>
    <t>参事事务</t>
  </si>
  <si>
    <t>2010350</t>
  </si>
  <si>
    <t>2010399</t>
  </si>
  <si>
    <t xml:space="preserve">      其他政府办公厅（室）及相关机构事务支出</t>
  </si>
  <si>
    <t>其他政府办公厅（室）及相关机构事务支出</t>
  </si>
  <si>
    <t>发展与改革事务</t>
  </si>
  <si>
    <t>2010401</t>
  </si>
  <si>
    <t>2010402</t>
  </si>
  <si>
    <t>2010403</t>
  </si>
  <si>
    <t>2010404</t>
  </si>
  <si>
    <t xml:space="preserve">      战略规划与实施</t>
  </si>
  <si>
    <t>战略规划与实施</t>
  </si>
  <si>
    <t>2010405</t>
  </si>
  <si>
    <t xml:space="preserve">      日常经济运行调节</t>
  </si>
  <si>
    <t>日常经济运行调节</t>
  </si>
  <si>
    <t>2010406</t>
  </si>
  <si>
    <t xml:space="preserve">      社会事业发展规划</t>
  </si>
  <si>
    <t>社会事业发展规划</t>
  </si>
  <si>
    <t>2010407</t>
  </si>
  <si>
    <t xml:space="preserve">      经济体制改革研究</t>
  </si>
  <si>
    <t>经济体制改革研究</t>
  </si>
  <si>
    <t>2010408</t>
  </si>
  <si>
    <t xml:space="preserve">      物价管理</t>
  </si>
  <si>
    <t>物价管理</t>
  </si>
  <si>
    <t>2010450</t>
  </si>
  <si>
    <t>2010499</t>
  </si>
  <si>
    <t xml:space="preserve">      其他发展与改革事务支出</t>
  </si>
  <si>
    <t>其他发展与改革事务支出</t>
  </si>
  <si>
    <t>统计信息事务</t>
  </si>
  <si>
    <t>2010501</t>
  </si>
  <si>
    <t>2010502</t>
  </si>
  <si>
    <t>2010503</t>
  </si>
  <si>
    <t>2010504</t>
  </si>
  <si>
    <t xml:space="preserve">      信息事务</t>
  </si>
  <si>
    <t>信息事务</t>
  </si>
  <si>
    <t>2010505</t>
  </si>
  <si>
    <t xml:space="preserve">      专项统计业务</t>
  </si>
  <si>
    <t>专项统计业务</t>
  </si>
  <si>
    <t>2010506</t>
  </si>
  <si>
    <t xml:space="preserve">      统计管理</t>
  </si>
  <si>
    <t>统计管理</t>
  </si>
  <si>
    <t>2010507</t>
  </si>
  <si>
    <t xml:space="preserve">      专项普查活动</t>
  </si>
  <si>
    <t>专项普查活动</t>
  </si>
  <si>
    <t>2010508</t>
  </si>
  <si>
    <t xml:space="preserve">      统计抽样调查</t>
  </si>
  <si>
    <t>统计抽样调查</t>
  </si>
  <si>
    <t>2010550</t>
  </si>
  <si>
    <t>2010599</t>
  </si>
  <si>
    <t xml:space="preserve">      其他统计信息事务支出</t>
  </si>
  <si>
    <t>其他统计信息事务支出</t>
  </si>
  <si>
    <t>财政事务</t>
  </si>
  <si>
    <t>2010601</t>
  </si>
  <si>
    <t>2010602</t>
  </si>
  <si>
    <t>2010603</t>
  </si>
  <si>
    <t>2010604</t>
  </si>
  <si>
    <t xml:space="preserve">      预算改革业务</t>
  </si>
  <si>
    <t>预算改革业务</t>
  </si>
  <si>
    <t>2010605</t>
  </si>
  <si>
    <t xml:space="preserve">      财政国库业务</t>
  </si>
  <si>
    <t>财政国库业务</t>
  </si>
  <si>
    <t>2010606</t>
  </si>
  <si>
    <t xml:space="preserve">      财政监察</t>
  </si>
  <si>
    <t>财政监察</t>
  </si>
  <si>
    <t>2010607</t>
  </si>
  <si>
    <t xml:space="preserve">      信息化建设</t>
  </si>
  <si>
    <t>信息化建设</t>
  </si>
  <si>
    <t>2010608</t>
  </si>
  <si>
    <t xml:space="preserve">      财政委托业务支出</t>
  </si>
  <si>
    <t>财政委托业务支出</t>
  </si>
  <si>
    <t>2010650</t>
  </si>
  <si>
    <t>2010699</t>
  </si>
  <si>
    <t xml:space="preserve">      其他财政事务支出</t>
  </si>
  <si>
    <t>其他财政事务支出</t>
  </si>
  <si>
    <t>税收事务</t>
  </si>
  <si>
    <t>2010701</t>
  </si>
  <si>
    <t>2010702</t>
  </si>
  <si>
    <t>2010703</t>
  </si>
  <si>
    <t>2010709</t>
  </si>
  <si>
    <t>2010710</t>
  </si>
  <si>
    <t xml:space="preserve">      税收业务</t>
  </si>
  <si>
    <t>税收业务</t>
  </si>
  <si>
    <t>2010750</t>
  </si>
  <si>
    <t>2010799</t>
  </si>
  <si>
    <t xml:space="preserve">      其他税收事务支出</t>
  </si>
  <si>
    <t>其他税收事务支出</t>
  </si>
  <si>
    <t>审计事务</t>
  </si>
  <si>
    <t>2010801</t>
  </si>
  <si>
    <t>2010802</t>
  </si>
  <si>
    <t>2010803</t>
  </si>
  <si>
    <t>2010804</t>
  </si>
  <si>
    <t xml:space="preserve">      审计业务</t>
  </si>
  <si>
    <t>审计业务</t>
  </si>
  <si>
    <t>2010805</t>
  </si>
  <si>
    <t xml:space="preserve">      审计管理</t>
  </si>
  <si>
    <t>审计管理</t>
  </si>
  <si>
    <t>2010806</t>
  </si>
  <si>
    <t>2010850</t>
  </si>
  <si>
    <t>2010899</t>
  </si>
  <si>
    <t xml:space="preserve">      其他审计事务支出</t>
  </si>
  <si>
    <t>其他审计事务支出</t>
  </si>
  <si>
    <t>海关事务</t>
  </si>
  <si>
    <t>2010901</t>
  </si>
  <si>
    <t>2010902</t>
  </si>
  <si>
    <t>2010903</t>
  </si>
  <si>
    <t>2010905</t>
  </si>
  <si>
    <t xml:space="preserve">      缉私办案</t>
  </si>
  <si>
    <t>缉私办案</t>
  </si>
  <si>
    <t>2010907</t>
  </si>
  <si>
    <t xml:space="preserve">      口岸管理</t>
  </si>
  <si>
    <t>口岸管理</t>
  </si>
  <si>
    <t>2010908</t>
  </si>
  <si>
    <t>2010909</t>
  </si>
  <si>
    <t xml:space="preserve">      海关关务</t>
  </si>
  <si>
    <t>海关关务</t>
  </si>
  <si>
    <t>2010910</t>
  </si>
  <si>
    <t xml:space="preserve">      关税征管</t>
  </si>
  <si>
    <t>关税征管</t>
  </si>
  <si>
    <t>2010911</t>
  </si>
  <si>
    <t xml:space="preserve">      海关监管</t>
  </si>
  <si>
    <t>海关监管</t>
  </si>
  <si>
    <t>2010912</t>
  </si>
  <si>
    <t xml:space="preserve">      检验检疫</t>
  </si>
  <si>
    <t>检验检疫</t>
  </si>
  <si>
    <t>2010950</t>
  </si>
  <si>
    <t>2010999</t>
  </si>
  <si>
    <t xml:space="preserve">      其他海关事务支出</t>
  </si>
  <si>
    <t>其他海关事务支出</t>
  </si>
  <si>
    <t>纪检监察事务</t>
  </si>
  <si>
    <t>2011101</t>
  </si>
  <si>
    <t>2011102</t>
  </si>
  <si>
    <t>2011103</t>
  </si>
  <si>
    <t>2011104</t>
  </si>
  <si>
    <t xml:space="preserve">      大案要案查处</t>
  </si>
  <si>
    <t>大案要案查处</t>
  </si>
  <si>
    <t>2011105</t>
  </si>
  <si>
    <t xml:space="preserve">      派驻派出机构</t>
  </si>
  <si>
    <t>派驻派出机构</t>
  </si>
  <si>
    <t>2011106</t>
  </si>
  <si>
    <t xml:space="preserve">      巡视工作</t>
  </si>
  <si>
    <t>巡视工作</t>
  </si>
  <si>
    <t>2011150</t>
  </si>
  <si>
    <t>2011199</t>
  </si>
  <si>
    <t xml:space="preserve">      其他纪检监察事务支出</t>
  </si>
  <si>
    <t>其他纪检监察事务支出</t>
  </si>
  <si>
    <t>商贸事务</t>
  </si>
  <si>
    <t>2011301</t>
  </si>
  <si>
    <t>2011302</t>
  </si>
  <si>
    <t>2011303</t>
  </si>
  <si>
    <t>2011304</t>
  </si>
  <si>
    <t xml:space="preserve">      对外贸易管理</t>
  </si>
  <si>
    <t>对外贸易管理</t>
  </si>
  <si>
    <t>2011305</t>
  </si>
  <si>
    <t xml:space="preserve">      国际经济合作</t>
  </si>
  <si>
    <t>国际经济合作</t>
  </si>
  <si>
    <t>2011306</t>
  </si>
  <si>
    <t xml:space="preserve">      外资管理</t>
  </si>
  <si>
    <t>外资管理</t>
  </si>
  <si>
    <t>2011307</t>
  </si>
  <si>
    <t xml:space="preserve">      国内贸易管理</t>
  </si>
  <si>
    <t>国内贸易管理</t>
  </si>
  <si>
    <t>2011308</t>
  </si>
  <si>
    <t xml:space="preserve">      招商引资</t>
  </si>
  <si>
    <t>招商引资</t>
  </si>
  <si>
    <t>2011350</t>
  </si>
  <si>
    <t>2011399</t>
  </si>
  <si>
    <t xml:space="preserve">      其他商贸事务支出</t>
  </si>
  <si>
    <t>其他商贸事务支出</t>
  </si>
  <si>
    <t>知识产权事务</t>
  </si>
  <si>
    <t>2011401</t>
  </si>
  <si>
    <t>2011402</t>
  </si>
  <si>
    <t>2011403</t>
  </si>
  <si>
    <t>2011404</t>
  </si>
  <si>
    <t xml:space="preserve">      专利审批</t>
  </si>
  <si>
    <t>专利审批</t>
  </si>
  <si>
    <t>2011405</t>
  </si>
  <si>
    <t xml:space="preserve">      知识产权战略和规划</t>
  </si>
  <si>
    <t>知识产权战略和规划</t>
  </si>
  <si>
    <t>2011408</t>
  </si>
  <si>
    <t xml:space="preserve">      国际合作与交流</t>
  </si>
  <si>
    <t>国际合作与交流</t>
  </si>
  <si>
    <t>2011409</t>
  </si>
  <si>
    <t xml:space="preserve">      知识产权宏观管理</t>
  </si>
  <si>
    <t>知识产权宏观管理</t>
  </si>
  <si>
    <t>2011410</t>
  </si>
  <si>
    <t xml:space="preserve">      商标管理</t>
  </si>
  <si>
    <t>商标管理</t>
  </si>
  <si>
    <t>2011411</t>
  </si>
  <si>
    <t xml:space="preserve">      原产地地理标志管理</t>
  </si>
  <si>
    <t>原产地地理标志管理</t>
  </si>
  <si>
    <t>2011450</t>
  </si>
  <si>
    <t>2011499</t>
  </si>
  <si>
    <t xml:space="preserve">      其他知识产权事务支出</t>
  </si>
  <si>
    <t>其他知识产权事务支出</t>
  </si>
  <si>
    <t>民族事务</t>
  </si>
  <si>
    <t>2012301</t>
  </si>
  <si>
    <t>2012302</t>
  </si>
  <si>
    <t>2012303</t>
  </si>
  <si>
    <t>2012304</t>
  </si>
  <si>
    <t xml:space="preserve">      民族工作专项</t>
  </si>
  <si>
    <t>民族工作专项</t>
  </si>
  <si>
    <t>2012350</t>
  </si>
  <si>
    <t>2012399</t>
  </si>
  <si>
    <t xml:space="preserve">      其他民族事务支出</t>
  </si>
  <si>
    <t>其他民族事务支出</t>
  </si>
  <si>
    <t>港澳台事务</t>
  </si>
  <si>
    <t>2012501</t>
  </si>
  <si>
    <t>2012502</t>
  </si>
  <si>
    <t>2012503</t>
  </si>
  <si>
    <t>2012504</t>
  </si>
  <si>
    <t xml:space="preserve">      港澳事务</t>
  </si>
  <si>
    <t>港澳事务</t>
  </si>
  <si>
    <t>2012505</t>
  </si>
  <si>
    <t xml:space="preserve">      台湾事务</t>
  </si>
  <si>
    <t>台湾事务</t>
  </si>
  <si>
    <t>2012550</t>
  </si>
  <si>
    <t>2012599</t>
  </si>
  <si>
    <t xml:space="preserve">      其他港澳台事务支出</t>
  </si>
  <si>
    <t>其他港澳台事务支出</t>
  </si>
  <si>
    <t>档案事务</t>
  </si>
  <si>
    <t>2012601</t>
  </si>
  <si>
    <t>2012602</t>
  </si>
  <si>
    <t>2012603</t>
  </si>
  <si>
    <t>2012604</t>
  </si>
  <si>
    <t xml:space="preserve">      档案馆</t>
  </si>
  <si>
    <t>档案馆</t>
  </si>
  <si>
    <t>2012699</t>
  </si>
  <si>
    <t xml:space="preserve">      其他档案事务支出</t>
  </si>
  <si>
    <t>其他档案事务支出</t>
  </si>
  <si>
    <t>民主党派及工商联事务</t>
  </si>
  <si>
    <t>2012801</t>
  </si>
  <si>
    <t>2012802</t>
  </si>
  <si>
    <t>2012803</t>
  </si>
  <si>
    <t>2012804</t>
  </si>
  <si>
    <t>2012850</t>
  </si>
  <si>
    <t>2012899</t>
  </si>
  <si>
    <t xml:space="preserve">      其他民主党派及工商联事务支出</t>
  </si>
  <si>
    <t>其他民主党派及工商联事务支出</t>
  </si>
  <si>
    <t>群众团体事务</t>
  </si>
  <si>
    <t>2012901</t>
  </si>
  <si>
    <t>2012902</t>
  </si>
  <si>
    <t>2012903</t>
  </si>
  <si>
    <t>2012906</t>
  </si>
  <si>
    <t xml:space="preserve">      工会事务</t>
  </si>
  <si>
    <t>工会事务</t>
  </si>
  <si>
    <t>2012950</t>
  </si>
  <si>
    <t>2012999</t>
  </si>
  <si>
    <t xml:space="preserve">      其他群众团体事务支出</t>
  </si>
  <si>
    <t>其他群众团体事务支出</t>
  </si>
  <si>
    <t>党委办公厅（室）及相关机构事务</t>
  </si>
  <si>
    <t>2013101</t>
  </si>
  <si>
    <t>2013102</t>
  </si>
  <si>
    <t>2013103</t>
  </si>
  <si>
    <t>2013105</t>
  </si>
  <si>
    <t xml:space="preserve">      专项业务</t>
  </si>
  <si>
    <t>专项业务</t>
  </si>
  <si>
    <t>2013150</t>
  </si>
  <si>
    <t>2013199</t>
  </si>
  <si>
    <t xml:space="preserve">      其他党委办公厅（室）及相关机构事务支出</t>
  </si>
  <si>
    <t>其他党委办公厅（室）及相关机构事务支出</t>
  </si>
  <si>
    <t>组织事务</t>
  </si>
  <si>
    <t>2013201</t>
  </si>
  <si>
    <t>2013202</t>
  </si>
  <si>
    <t>2013203</t>
  </si>
  <si>
    <t>2013204</t>
  </si>
  <si>
    <t xml:space="preserve">      公务员事务</t>
  </si>
  <si>
    <t>公务员事务</t>
  </si>
  <si>
    <t>2013250</t>
  </si>
  <si>
    <t>2013299</t>
  </si>
  <si>
    <t xml:space="preserve">      其他组织事务支出</t>
  </si>
  <si>
    <t>其他组织事务支出</t>
  </si>
  <si>
    <t>宣传事务</t>
  </si>
  <si>
    <t>2013301</t>
  </si>
  <si>
    <t>2013302</t>
  </si>
  <si>
    <t>2013303</t>
  </si>
  <si>
    <t>2013304</t>
  </si>
  <si>
    <t xml:space="preserve">      宣传管理</t>
  </si>
  <si>
    <t>宣传管理</t>
  </si>
  <si>
    <t>2013350</t>
  </si>
  <si>
    <t>2013399</t>
  </si>
  <si>
    <t xml:space="preserve">      其他宣传事务支出</t>
  </si>
  <si>
    <t>其他宣传事务支出</t>
  </si>
  <si>
    <t>统战事务</t>
  </si>
  <si>
    <t>2013401</t>
  </si>
  <si>
    <t>2013402</t>
  </si>
  <si>
    <t>2013403</t>
  </si>
  <si>
    <t>2013404</t>
  </si>
  <si>
    <t xml:space="preserve">      宗教事务</t>
  </si>
  <si>
    <t>宗教事务</t>
  </si>
  <si>
    <t>2013405</t>
  </si>
  <si>
    <t xml:space="preserve">      华侨事务</t>
  </si>
  <si>
    <t>华侨事务</t>
  </si>
  <si>
    <t>2013450</t>
  </si>
  <si>
    <t>2013499</t>
  </si>
  <si>
    <t xml:space="preserve">      其他统战事务支出</t>
  </si>
  <si>
    <t>其他统战事务支出</t>
  </si>
  <si>
    <t>对外联络事务</t>
  </si>
  <si>
    <t>2013501</t>
  </si>
  <si>
    <t>2013502</t>
  </si>
  <si>
    <t>2013503</t>
  </si>
  <si>
    <t>2013550</t>
  </si>
  <si>
    <t>2013599</t>
  </si>
  <si>
    <t xml:space="preserve">      其他对外联络事务支出</t>
  </si>
  <si>
    <t>其他对外联络事务支出</t>
  </si>
  <si>
    <t>其他共产党事务支出</t>
  </si>
  <si>
    <t>2013601</t>
  </si>
  <si>
    <t>2013602</t>
  </si>
  <si>
    <t>2013603</t>
  </si>
  <si>
    <t>2013650</t>
  </si>
  <si>
    <t>2013699</t>
  </si>
  <si>
    <t xml:space="preserve">      其他共产党事务支出</t>
  </si>
  <si>
    <t>网信事务</t>
  </si>
  <si>
    <t>2013701</t>
  </si>
  <si>
    <t>2013702</t>
  </si>
  <si>
    <t>2013703</t>
  </si>
  <si>
    <t>2133704</t>
  </si>
  <si>
    <t xml:space="preserve">      信息安全事务</t>
  </si>
  <si>
    <t>2013704</t>
  </si>
  <si>
    <t>信息安全事务</t>
  </si>
  <si>
    <t>2013750</t>
  </si>
  <si>
    <t>2013799</t>
  </si>
  <si>
    <t xml:space="preserve">      其他网信事务支出</t>
  </si>
  <si>
    <t>其他网信事务支出</t>
  </si>
  <si>
    <t>市场监督管理事务</t>
  </si>
  <si>
    <t>2013801</t>
  </si>
  <si>
    <t>2013802</t>
  </si>
  <si>
    <t>2013803</t>
  </si>
  <si>
    <t>2013804</t>
  </si>
  <si>
    <t xml:space="preserve">      经营主体管理</t>
  </si>
  <si>
    <t>经营主体管理</t>
  </si>
  <si>
    <t>2013805</t>
  </si>
  <si>
    <t xml:space="preserve">      市场秩序执法</t>
  </si>
  <si>
    <t>市场秩序执法</t>
  </si>
  <si>
    <t>2013808</t>
  </si>
  <si>
    <t>2013810</t>
  </si>
  <si>
    <t xml:space="preserve">      质量基础</t>
  </si>
  <si>
    <t>质量基础</t>
  </si>
  <si>
    <t>2013812</t>
  </si>
  <si>
    <t xml:space="preserve">      药品事务</t>
  </si>
  <si>
    <t>药品事务</t>
  </si>
  <si>
    <t>2013813</t>
  </si>
  <si>
    <t xml:space="preserve">      医疗器械事务</t>
  </si>
  <si>
    <t>医疗器械事务</t>
  </si>
  <si>
    <t>2013814</t>
  </si>
  <si>
    <t xml:space="preserve">      化妆品事务</t>
  </si>
  <si>
    <t>化妆品事务</t>
  </si>
  <si>
    <t>2013815</t>
  </si>
  <si>
    <t xml:space="preserve">      质量安全监管</t>
  </si>
  <si>
    <t>质量安全监管</t>
  </si>
  <si>
    <t>2013816</t>
  </si>
  <si>
    <t xml:space="preserve">      食品安全监管</t>
  </si>
  <si>
    <t>食品安全监管</t>
  </si>
  <si>
    <t>2013850</t>
  </si>
  <si>
    <t>2013899</t>
  </si>
  <si>
    <t xml:space="preserve">      其他市场监督管理事务</t>
  </si>
  <si>
    <t>其他市场监督管理事务</t>
  </si>
  <si>
    <t xml:space="preserve">   社会工作事务</t>
  </si>
  <si>
    <t>2013901</t>
  </si>
  <si>
    <t>2013902</t>
  </si>
  <si>
    <t>2013903</t>
  </si>
  <si>
    <t>2013904</t>
  </si>
  <si>
    <t>删除2080208基层政权建设和社区治理科目，相关支出转列社会工作事务下2013904专项业务科目</t>
  </si>
  <si>
    <t>2013950</t>
  </si>
  <si>
    <t>2013999</t>
  </si>
  <si>
    <t xml:space="preserve">      其他社会工作事务支出</t>
  </si>
  <si>
    <t>其他社会工作事务支出</t>
  </si>
  <si>
    <t xml:space="preserve">   信访事务</t>
  </si>
  <si>
    <t>信访事务</t>
  </si>
  <si>
    <t>2014001</t>
  </si>
  <si>
    <t>2014002</t>
  </si>
  <si>
    <t>2014003</t>
  </si>
  <si>
    <t>2014004</t>
  </si>
  <si>
    <t xml:space="preserve">      信访业务</t>
  </si>
  <si>
    <t>信访业务</t>
  </si>
  <si>
    <t>2014050</t>
  </si>
  <si>
    <t>2014099</t>
  </si>
  <si>
    <t xml:space="preserve">      其他信访事务支出</t>
  </si>
  <si>
    <t>其他信访事务支出</t>
  </si>
  <si>
    <t>20141</t>
  </si>
  <si>
    <t xml:space="preserve">   数据事务</t>
  </si>
  <si>
    <t>数据事务</t>
  </si>
  <si>
    <t>2014101</t>
  </si>
  <si>
    <t>2014102</t>
  </si>
  <si>
    <t>2014103</t>
  </si>
  <si>
    <t>2014150</t>
  </si>
  <si>
    <t>2014199</t>
  </si>
  <si>
    <t xml:space="preserve">      其他数据事务支出</t>
  </si>
  <si>
    <t>其他数据事务支出</t>
  </si>
  <si>
    <t>其他一般公共服务支出</t>
  </si>
  <si>
    <t>2019901</t>
  </si>
  <si>
    <t xml:space="preserve">      国家赔偿费用支出</t>
  </si>
  <si>
    <t>国家赔偿费用支出</t>
  </si>
  <si>
    <t>2019999</t>
  </si>
  <si>
    <t xml:space="preserve">      其他一般公共服务支出</t>
  </si>
  <si>
    <t>外交支出</t>
  </si>
  <si>
    <t>20201</t>
  </si>
  <si>
    <t xml:space="preserve">   外交管理事务</t>
  </si>
  <si>
    <t>外交管理事务</t>
  </si>
  <si>
    <t>2020101</t>
  </si>
  <si>
    <t>2020102</t>
  </si>
  <si>
    <t>2020103</t>
  </si>
  <si>
    <t>2020104</t>
  </si>
  <si>
    <t>2020150</t>
  </si>
  <si>
    <t>2020199</t>
  </si>
  <si>
    <t xml:space="preserve">      其他外交管理事务支出</t>
  </si>
  <si>
    <t>其他外交管理事务支出</t>
  </si>
  <si>
    <t>20202</t>
  </si>
  <si>
    <t xml:space="preserve">   驻外机构</t>
  </si>
  <si>
    <t>驻外机构</t>
  </si>
  <si>
    <t>2020201</t>
  </si>
  <si>
    <t xml:space="preserve">      驻外使领馆（团、处）</t>
  </si>
  <si>
    <t>驻外使领馆（团、处）</t>
  </si>
  <si>
    <t>2020202</t>
  </si>
  <si>
    <t xml:space="preserve">      其他驻外机构支出</t>
  </si>
  <si>
    <t>其他驻外机构支出</t>
  </si>
  <si>
    <t>20203</t>
  </si>
  <si>
    <t xml:space="preserve">   对外援助</t>
  </si>
  <si>
    <t>2020304</t>
  </si>
  <si>
    <t xml:space="preserve">      援外优惠贷款贴息</t>
  </si>
  <si>
    <t>援外优惠贷款贴息</t>
  </si>
  <si>
    <t>2020306</t>
  </si>
  <si>
    <t xml:space="preserve">      对外援助</t>
  </si>
  <si>
    <t>对外援助</t>
  </si>
  <si>
    <t>20204</t>
  </si>
  <si>
    <t xml:space="preserve">   国际组织</t>
  </si>
  <si>
    <t>2020401</t>
  </si>
  <si>
    <t xml:space="preserve">      国际组织会务</t>
  </si>
  <si>
    <t>国际组织会务</t>
  </si>
  <si>
    <t>2020402</t>
  </si>
  <si>
    <t xml:space="preserve">      国际组织捐赠</t>
  </si>
  <si>
    <t>国际组织捐赠</t>
  </si>
  <si>
    <t>2020403</t>
  </si>
  <si>
    <t xml:space="preserve">      维和摊款</t>
  </si>
  <si>
    <t>维和摊款</t>
  </si>
  <si>
    <t>2020404</t>
  </si>
  <si>
    <t xml:space="preserve">      国际组织股金及基金</t>
  </si>
  <si>
    <t>国际组织股金及基金</t>
  </si>
  <si>
    <t>2020499</t>
  </si>
  <si>
    <t xml:space="preserve">      其他国际组织支出</t>
  </si>
  <si>
    <t>其他国际组织支出</t>
  </si>
  <si>
    <t xml:space="preserve">   对外合作与交流</t>
  </si>
  <si>
    <t>对外合作与交流</t>
  </si>
  <si>
    <t>2020503</t>
  </si>
  <si>
    <t xml:space="preserve">      在华国际会议</t>
  </si>
  <si>
    <t>在华国际会议</t>
  </si>
  <si>
    <t>2020504</t>
  </si>
  <si>
    <t xml:space="preserve">      国际交流活动</t>
  </si>
  <si>
    <t>国际交流活动</t>
  </si>
  <si>
    <t>2020505</t>
  </si>
  <si>
    <t xml:space="preserve">      对外合作活动</t>
  </si>
  <si>
    <t>对外合作活动</t>
  </si>
  <si>
    <t>2020599</t>
  </si>
  <si>
    <t xml:space="preserve">      其他对外合作与交流支出</t>
  </si>
  <si>
    <t>其他对外合作与交流支出</t>
  </si>
  <si>
    <t>20206</t>
  </si>
  <si>
    <t xml:space="preserve">   对外宣传</t>
  </si>
  <si>
    <t>对外宣传</t>
  </si>
  <si>
    <t>2020601</t>
  </si>
  <si>
    <t xml:space="preserve">      对外宣传</t>
  </si>
  <si>
    <t>20207</t>
  </si>
  <si>
    <t xml:space="preserve">   边界勘界联检</t>
  </si>
  <si>
    <t>边界勘界联检</t>
  </si>
  <si>
    <t>2020701</t>
  </si>
  <si>
    <t xml:space="preserve">      边界勘界</t>
  </si>
  <si>
    <t>边界勘界</t>
  </si>
  <si>
    <t>2020702</t>
  </si>
  <si>
    <t xml:space="preserve">      边界联检</t>
  </si>
  <si>
    <t>边界联检</t>
  </si>
  <si>
    <t>2020703</t>
  </si>
  <si>
    <t xml:space="preserve">      边界界桩维护</t>
  </si>
  <si>
    <t>边界界桩维护</t>
  </si>
  <si>
    <t>2020799</t>
  </si>
  <si>
    <t>其他支出</t>
  </si>
  <si>
    <t>20208</t>
  </si>
  <si>
    <t xml:space="preserve">   国际发展合作</t>
  </si>
  <si>
    <t>国际发展合作</t>
  </si>
  <si>
    <t>2020801</t>
  </si>
  <si>
    <t>2020802</t>
  </si>
  <si>
    <t>2020803</t>
  </si>
  <si>
    <t>2020850</t>
  </si>
  <si>
    <t>2020899</t>
  </si>
  <si>
    <t xml:space="preserve">      其他国际发展合作支出</t>
  </si>
  <si>
    <t>其他国际发展合作支出</t>
  </si>
  <si>
    <t xml:space="preserve">   其他外交支出</t>
  </si>
  <si>
    <t>其他外交支出</t>
  </si>
  <si>
    <t>2029999</t>
  </si>
  <si>
    <t xml:space="preserve">     其他外交支出</t>
  </si>
  <si>
    <t>国防支出</t>
  </si>
  <si>
    <t>20301</t>
  </si>
  <si>
    <t xml:space="preserve">    军费</t>
  </si>
  <si>
    <t>国防动员</t>
  </si>
  <si>
    <t>2030101</t>
  </si>
  <si>
    <t xml:space="preserve">      现役部队</t>
  </si>
  <si>
    <t>现役部队</t>
  </si>
  <si>
    <t>2030102</t>
  </si>
  <si>
    <t xml:space="preserve">      预备役部队</t>
  </si>
  <si>
    <t>预备役部队</t>
  </si>
  <si>
    <t>2030199</t>
  </si>
  <si>
    <t xml:space="preserve">      其他军费支出</t>
  </si>
  <si>
    <t>其他军费支出</t>
  </si>
  <si>
    <t>2030401</t>
  </si>
  <si>
    <t xml:space="preserve">   国防科研事业</t>
  </si>
  <si>
    <t>20304</t>
  </si>
  <si>
    <t>国防科研事业</t>
  </si>
  <si>
    <t xml:space="preserve">     国防科研事业</t>
  </si>
  <si>
    <t>20305</t>
  </si>
  <si>
    <t xml:space="preserve">   专项工程</t>
  </si>
  <si>
    <t>专项工程</t>
  </si>
  <si>
    <t>2030501</t>
  </si>
  <si>
    <t xml:space="preserve">     专项工程</t>
  </si>
  <si>
    <t>2030601</t>
  </si>
  <si>
    <t xml:space="preserve">      兵役征集</t>
  </si>
  <si>
    <t>兵役征集</t>
  </si>
  <si>
    <t>2030602</t>
  </si>
  <si>
    <t xml:space="preserve">      经济动员</t>
  </si>
  <si>
    <t>经济动员</t>
  </si>
  <si>
    <t>2030603</t>
  </si>
  <si>
    <t xml:space="preserve">      人民防空</t>
  </si>
  <si>
    <t>人民防空</t>
  </si>
  <si>
    <t>2030604</t>
  </si>
  <si>
    <t xml:space="preserve">      交通战备</t>
  </si>
  <si>
    <t>交通战备</t>
  </si>
  <si>
    <t>2030607</t>
  </si>
  <si>
    <t xml:space="preserve">      民兵</t>
  </si>
  <si>
    <t>民兵</t>
  </si>
  <si>
    <t>2030608</t>
  </si>
  <si>
    <t xml:space="preserve">      边海防</t>
  </si>
  <si>
    <t>边海防</t>
  </si>
  <si>
    <t>2030699</t>
  </si>
  <si>
    <t xml:space="preserve">      其他国防动员支出</t>
  </si>
  <si>
    <t>其他国防动员支出</t>
  </si>
  <si>
    <t>其他国防支出</t>
  </si>
  <si>
    <t>2039999</t>
  </si>
  <si>
    <t xml:space="preserve">      其他国防支出</t>
  </si>
  <si>
    <t>203999</t>
  </si>
  <si>
    <t>公共安全支出</t>
  </si>
  <si>
    <t>武装警察部队</t>
  </si>
  <si>
    <t>2040101</t>
  </si>
  <si>
    <t xml:space="preserve">      武装警察部队</t>
  </si>
  <si>
    <t>2040199</t>
  </si>
  <si>
    <t xml:space="preserve">      其他武装警察部队支出</t>
  </si>
  <si>
    <t>其他武装警察部队支出</t>
  </si>
  <si>
    <t>公安</t>
  </si>
  <si>
    <t>2040201</t>
  </si>
  <si>
    <t>2040202</t>
  </si>
  <si>
    <t>2040203</t>
  </si>
  <si>
    <t>2040219</t>
  </si>
  <si>
    <t>2040220</t>
  </si>
  <si>
    <t xml:space="preserve">      执法办案</t>
  </si>
  <si>
    <t>执法办案</t>
  </si>
  <si>
    <t>2040221</t>
  </si>
  <si>
    <t xml:space="preserve">      特别业务</t>
  </si>
  <si>
    <t>特别业务</t>
  </si>
  <si>
    <t>2040222</t>
  </si>
  <si>
    <t xml:space="preserve">      特勤业务</t>
  </si>
  <si>
    <t>特勤业务</t>
  </si>
  <si>
    <t>2040223</t>
  </si>
  <si>
    <t xml:space="preserve">      移民事务</t>
  </si>
  <si>
    <t>移民事务</t>
  </si>
  <si>
    <t>2040250</t>
  </si>
  <si>
    <t>2040299</t>
  </si>
  <si>
    <t xml:space="preserve">      其他公安支出</t>
  </si>
  <si>
    <t>其他公安支出</t>
  </si>
  <si>
    <t>国家安全</t>
  </si>
  <si>
    <t>2040301</t>
  </si>
  <si>
    <t>2040302</t>
  </si>
  <si>
    <t>2040303</t>
  </si>
  <si>
    <t>2040304</t>
  </si>
  <si>
    <t xml:space="preserve">      安全业务</t>
  </si>
  <si>
    <t>安全业务</t>
  </si>
  <si>
    <t>2040350</t>
  </si>
  <si>
    <t>2040399</t>
  </si>
  <si>
    <t xml:space="preserve">      其他国家安全支出</t>
  </si>
  <si>
    <t>其他国家安全支出</t>
  </si>
  <si>
    <t>检察</t>
  </si>
  <si>
    <t>2040401</t>
  </si>
  <si>
    <t>2040402</t>
  </si>
  <si>
    <t>2040403</t>
  </si>
  <si>
    <t>2040409</t>
  </si>
  <si>
    <t xml:space="preserve">      “两房”建设</t>
  </si>
  <si>
    <t>“两房”建设</t>
  </si>
  <si>
    <t>2040410</t>
  </si>
  <si>
    <t xml:space="preserve">      检察监督</t>
  </si>
  <si>
    <t>检察监督</t>
  </si>
  <si>
    <t>2040450</t>
  </si>
  <si>
    <t>2040499</t>
  </si>
  <si>
    <t xml:space="preserve">      其他检察支出</t>
  </si>
  <si>
    <t>其他检察支出</t>
  </si>
  <si>
    <t>法院</t>
  </si>
  <si>
    <t>2040501</t>
  </si>
  <si>
    <t>2040502</t>
  </si>
  <si>
    <t>2040503</t>
  </si>
  <si>
    <t>2040504</t>
  </si>
  <si>
    <t xml:space="preserve">      案件审判</t>
  </si>
  <si>
    <t>案件审判</t>
  </si>
  <si>
    <t>2040505</t>
  </si>
  <si>
    <t xml:space="preserve">      案件执行</t>
  </si>
  <si>
    <t>案件执行</t>
  </si>
  <si>
    <t>2040506</t>
  </si>
  <si>
    <t xml:space="preserve">      “两庭”建设</t>
  </si>
  <si>
    <t>“两庭”建设</t>
  </si>
  <si>
    <t>2040550</t>
  </si>
  <si>
    <t>2040599</t>
  </si>
  <si>
    <t xml:space="preserve">      其他法院支出</t>
  </si>
  <si>
    <t>其他法院支出</t>
  </si>
  <si>
    <t>司法</t>
  </si>
  <si>
    <t>2040601</t>
  </si>
  <si>
    <t>2040602</t>
  </si>
  <si>
    <t>2040603</t>
  </si>
  <si>
    <t>2040604</t>
  </si>
  <si>
    <t xml:space="preserve">      基层司法业务</t>
  </si>
  <si>
    <t>基层司法业务</t>
  </si>
  <si>
    <t>2040605</t>
  </si>
  <si>
    <t xml:space="preserve">      普法宣传</t>
  </si>
  <si>
    <t>普法宣传</t>
  </si>
  <si>
    <t>2040606</t>
  </si>
  <si>
    <t xml:space="preserve">      律师管理</t>
  </si>
  <si>
    <t>律师公证管理</t>
  </si>
  <si>
    <t>2040607</t>
  </si>
  <si>
    <t xml:space="preserve">      公共法律服务</t>
  </si>
  <si>
    <t>法律援助</t>
  </si>
  <si>
    <t>2040608</t>
  </si>
  <si>
    <t xml:space="preserve">      国家统一法律职业资格考试</t>
  </si>
  <si>
    <t>国家统一法律职业资格考试</t>
  </si>
  <si>
    <t>2040610</t>
  </si>
  <si>
    <t xml:space="preserve">      社区矫正</t>
  </si>
  <si>
    <t>社区矫正</t>
  </si>
  <si>
    <t>2040612</t>
  </si>
  <si>
    <t xml:space="preserve">      法制建设</t>
  </si>
  <si>
    <t>法制建设</t>
  </si>
  <si>
    <t>2040613</t>
  </si>
  <si>
    <t>2040650</t>
  </si>
  <si>
    <t>2040699</t>
  </si>
  <si>
    <t xml:space="preserve">      其他司法支出</t>
  </si>
  <si>
    <t>其他司法支出</t>
  </si>
  <si>
    <t>监狱</t>
  </si>
  <si>
    <t>2040701</t>
  </si>
  <si>
    <t>2040702</t>
  </si>
  <si>
    <t>2040703</t>
  </si>
  <si>
    <t>2040704</t>
  </si>
  <si>
    <t xml:space="preserve">      罪犯生活及医疗卫生</t>
  </si>
  <si>
    <t>犯人生活</t>
  </si>
  <si>
    <t>2040705</t>
  </si>
  <si>
    <t xml:space="preserve">      监狱业务及罪犯改造</t>
  </si>
  <si>
    <t>犯人改造</t>
  </si>
  <si>
    <t>2040706</t>
  </si>
  <si>
    <t xml:space="preserve">      狱政设施建设</t>
  </si>
  <si>
    <t>狱政设施建设</t>
  </si>
  <si>
    <t>2040707</t>
  </si>
  <si>
    <t>2040750</t>
  </si>
  <si>
    <t>2040799</t>
  </si>
  <si>
    <t xml:space="preserve">      其他监狱支出</t>
  </si>
  <si>
    <t>其他监狱支出</t>
  </si>
  <si>
    <t>强制隔离戒毒</t>
  </si>
  <si>
    <t>2040801</t>
  </si>
  <si>
    <t>2040802</t>
  </si>
  <si>
    <t>2040803</t>
  </si>
  <si>
    <t>2040804</t>
  </si>
  <si>
    <t xml:space="preserve">      强制隔离戒毒人员生活</t>
  </si>
  <si>
    <t>强制隔离戒毒人员生活</t>
  </si>
  <si>
    <t>2040805</t>
  </si>
  <si>
    <t xml:space="preserve">      强制隔离戒毒人员教育</t>
  </si>
  <si>
    <t>强制隔离戒毒人员教育</t>
  </si>
  <si>
    <t>2040806</t>
  </si>
  <si>
    <t xml:space="preserve">      所政设施建设</t>
  </si>
  <si>
    <t>所政设施建设</t>
  </si>
  <si>
    <t>2040807</t>
  </si>
  <si>
    <t>2040850</t>
  </si>
  <si>
    <t>2040899</t>
  </si>
  <si>
    <t xml:space="preserve">      其他强制隔离戒毒支出</t>
  </si>
  <si>
    <t>其他强制隔离戒毒支出</t>
  </si>
  <si>
    <t>国家保密</t>
  </si>
  <si>
    <t>2040901</t>
  </si>
  <si>
    <t>2040902</t>
  </si>
  <si>
    <t>2040903</t>
  </si>
  <si>
    <t>2040904</t>
  </si>
  <si>
    <t xml:space="preserve">      保密技术</t>
  </si>
  <si>
    <t>保密技术</t>
  </si>
  <si>
    <t>2040905</t>
  </si>
  <si>
    <t xml:space="preserve">      保密管理</t>
  </si>
  <si>
    <t>保密管理</t>
  </si>
  <si>
    <t>2040950</t>
  </si>
  <si>
    <t>2040999</t>
  </si>
  <si>
    <t xml:space="preserve">      其他国家保密支出</t>
  </si>
  <si>
    <t>其他国家保密支出</t>
  </si>
  <si>
    <t>缉私警察</t>
  </si>
  <si>
    <t>2041001</t>
  </si>
  <si>
    <t>2041002</t>
  </si>
  <si>
    <t>2041006</t>
  </si>
  <si>
    <t>2041007</t>
  </si>
  <si>
    <t xml:space="preserve">      缉私业务</t>
  </si>
  <si>
    <t>缉私业务</t>
  </si>
  <si>
    <t>2041099</t>
  </si>
  <si>
    <t xml:space="preserve">      其他缉私警察支出</t>
  </si>
  <si>
    <t>其他缉私警察支出</t>
  </si>
  <si>
    <t>其他公共安全支出</t>
  </si>
  <si>
    <t>2049902</t>
  </si>
  <si>
    <t xml:space="preserve">      国家司法救助支出</t>
  </si>
  <si>
    <t>国家司法救助支出</t>
  </si>
  <si>
    <t>2049999</t>
  </si>
  <si>
    <t xml:space="preserve">      其他公共安全支出</t>
  </si>
  <si>
    <t>教育支出</t>
  </si>
  <si>
    <t>教育管理事务</t>
  </si>
  <si>
    <t>2050101</t>
  </si>
  <si>
    <t>2050102</t>
  </si>
  <si>
    <t>2050103</t>
  </si>
  <si>
    <t>2050199</t>
  </si>
  <si>
    <t xml:space="preserve">      其他教育管理事务支出</t>
  </si>
  <si>
    <t>其他教育管理事务支出</t>
  </si>
  <si>
    <t>普通教育</t>
  </si>
  <si>
    <t>2050201</t>
  </si>
  <si>
    <t xml:space="preserve">      学前教育</t>
  </si>
  <si>
    <t>学前教育</t>
  </si>
  <si>
    <t>2050202</t>
  </si>
  <si>
    <t xml:space="preserve">      小学教育</t>
  </si>
  <si>
    <t>小学教育</t>
  </si>
  <si>
    <t>2050203</t>
  </si>
  <si>
    <t xml:space="preserve">      初中教育</t>
  </si>
  <si>
    <t>初中教育</t>
  </si>
  <si>
    <t>2050204</t>
  </si>
  <si>
    <t xml:space="preserve">      高中教育</t>
  </si>
  <si>
    <t>高中教育</t>
  </si>
  <si>
    <t>2050205</t>
  </si>
  <si>
    <t xml:space="preserve">      高等教育</t>
  </si>
  <si>
    <t>高等教育</t>
  </si>
  <si>
    <t>2050299</t>
  </si>
  <si>
    <t xml:space="preserve">      其他普通教育支出</t>
  </si>
  <si>
    <t>其他普通教育支出</t>
  </si>
  <si>
    <t>职业教育</t>
  </si>
  <si>
    <t>2050301</t>
  </si>
  <si>
    <t xml:space="preserve">      初等职业教育</t>
  </si>
  <si>
    <t>初等职业教育</t>
  </si>
  <si>
    <t>2050302</t>
  </si>
  <si>
    <t xml:space="preserve">      中等职业教育</t>
  </si>
  <si>
    <t>中等职业教育</t>
  </si>
  <si>
    <t>2050303</t>
  </si>
  <si>
    <t xml:space="preserve">      技校教育</t>
  </si>
  <si>
    <t>技校教育</t>
  </si>
  <si>
    <t>2050305</t>
  </si>
  <si>
    <t xml:space="preserve">      高等职业教育</t>
  </si>
  <si>
    <t>高等职业教育</t>
  </si>
  <si>
    <t>2050399</t>
  </si>
  <si>
    <t xml:space="preserve">      其他职业教育支出</t>
  </si>
  <si>
    <t>其他职业教育支出</t>
  </si>
  <si>
    <t>成人教育</t>
  </si>
  <si>
    <t>2050401</t>
  </si>
  <si>
    <t xml:space="preserve">      成人初等教育</t>
  </si>
  <si>
    <t>成人初等教育</t>
  </si>
  <si>
    <t>2050402</t>
  </si>
  <si>
    <t xml:space="preserve">      成人中等教育</t>
  </si>
  <si>
    <t>成人中等教育</t>
  </si>
  <si>
    <t>2050403</t>
  </si>
  <si>
    <t xml:space="preserve">      成人高等教育</t>
  </si>
  <si>
    <t>成人高等教育</t>
  </si>
  <si>
    <t>2050404</t>
  </si>
  <si>
    <t xml:space="preserve">      成人广播电视教育</t>
  </si>
  <si>
    <t>成人广播电视教育</t>
  </si>
  <si>
    <t>2050499</t>
  </si>
  <si>
    <t xml:space="preserve">      其他成人教育支出</t>
  </si>
  <si>
    <t>其他成人教育支出</t>
  </si>
  <si>
    <t>广播电视教育</t>
  </si>
  <si>
    <t>2050501</t>
  </si>
  <si>
    <t xml:space="preserve">      广播电视学校</t>
  </si>
  <si>
    <t>广播电视学校</t>
  </si>
  <si>
    <t>2050502</t>
  </si>
  <si>
    <t xml:space="preserve">      教育电视台</t>
  </si>
  <si>
    <t>教育电视台</t>
  </si>
  <si>
    <t>2050599</t>
  </si>
  <si>
    <t xml:space="preserve">      其他广播电视教育支出</t>
  </si>
  <si>
    <t>其他广播电视教育支出</t>
  </si>
  <si>
    <t>留学教育</t>
  </si>
  <si>
    <t>2050601</t>
  </si>
  <si>
    <t xml:space="preserve">      出国留学教育</t>
  </si>
  <si>
    <t>出国留学教育</t>
  </si>
  <si>
    <t>2050602</t>
  </si>
  <si>
    <t xml:space="preserve">      来华留学教育</t>
  </si>
  <si>
    <t>来华留学教育</t>
  </si>
  <si>
    <t>2050699</t>
  </si>
  <si>
    <t xml:space="preserve">      其他留学教育支出</t>
  </si>
  <si>
    <t>其他留学教育支出</t>
  </si>
  <si>
    <t>特殊教育</t>
  </si>
  <si>
    <t>2050701</t>
  </si>
  <si>
    <t xml:space="preserve">      特殊学校教育</t>
  </si>
  <si>
    <t>特殊学校教育</t>
  </si>
  <si>
    <t>2050702</t>
  </si>
  <si>
    <t xml:space="preserve">      专门学校教育</t>
  </si>
  <si>
    <t>专门学校教育</t>
  </si>
  <si>
    <t>2050799</t>
  </si>
  <si>
    <t xml:space="preserve">      其他特殊教育支出</t>
  </si>
  <si>
    <t>其他特殊教育支出</t>
  </si>
  <si>
    <t>进修及培训</t>
  </si>
  <si>
    <t>2050801</t>
  </si>
  <si>
    <t xml:space="preserve">      教师进修</t>
  </si>
  <si>
    <t>教师进修</t>
  </si>
  <si>
    <t>2050802</t>
  </si>
  <si>
    <t xml:space="preserve">      干部教育</t>
  </si>
  <si>
    <t>干部教育</t>
  </si>
  <si>
    <t>2050803</t>
  </si>
  <si>
    <t xml:space="preserve">      培训支出</t>
  </si>
  <si>
    <t>培训支出</t>
  </si>
  <si>
    <t>2050804</t>
  </si>
  <si>
    <t xml:space="preserve">      退役士兵能力提升</t>
  </si>
  <si>
    <t>退役士兵能力提升</t>
  </si>
  <si>
    <t>2050899</t>
  </si>
  <si>
    <t xml:space="preserve">      其他进修及培训</t>
  </si>
  <si>
    <t>其他进修及培训</t>
  </si>
  <si>
    <t>教育费附加安排的支出</t>
  </si>
  <si>
    <t>2050901</t>
  </si>
  <si>
    <t xml:space="preserve">      农村中小学校舍建设</t>
  </si>
  <si>
    <t>农村中小学校舍建设</t>
  </si>
  <si>
    <t>2050902</t>
  </si>
  <si>
    <t xml:space="preserve">      农村中小学教学设施</t>
  </si>
  <si>
    <t>农村中小学教学设施</t>
  </si>
  <si>
    <t>2050903</t>
  </si>
  <si>
    <t xml:space="preserve">      城市中小学校舍建设</t>
  </si>
  <si>
    <t>城市中小学校舍建设</t>
  </si>
  <si>
    <t>2050904</t>
  </si>
  <si>
    <t xml:space="preserve">      城市中小学教学设施</t>
  </si>
  <si>
    <t>城市中小学教学设施</t>
  </si>
  <si>
    <t>2050905</t>
  </si>
  <si>
    <t xml:space="preserve">      中等职业学校教学设施</t>
  </si>
  <si>
    <t>中等职业学校教学设施</t>
  </si>
  <si>
    <t>2050999</t>
  </si>
  <si>
    <t xml:space="preserve">      其他教育费附加安排的支出</t>
  </si>
  <si>
    <t>其他教育费附加安排的支出</t>
  </si>
  <si>
    <t>其他教育支出</t>
  </si>
  <si>
    <t>2059999</t>
  </si>
  <si>
    <t xml:space="preserve">       其他教育支出</t>
  </si>
  <si>
    <t>科学技术支出</t>
  </si>
  <si>
    <t>科学技术管理事务</t>
  </si>
  <si>
    <t>2060101</t>
  </si>
  <si>
    <t>2060102</t>
  </si>
  <si>
    <t>2060103</t>
  </si>
  <si>
    <t>2060199</t>
  </si>
  <si>
    <t xml:space="preserve">      其他科学技术管理事务支出</t>
  </si>
  <si>
    <t>其他科学技术管理事务支出</t>
  </si>
  <si>
    <t>基础研究</t>
  </si>
  <si>
    <t>2060201</t>
  </si>
  <si>
    <t xml:space="preserve">      机构运行</t>
  </si>
  <si>
    <t>机构运行</t>
  </si>
  <si>
    <t>2060203</t>
  </si>
  <si>
    <t xml:space="preserve">      自然科学基金</t>
  </si>
  <si>
    <t>自然科学基金</t>
  </si>
  <si>
    <t>2060204</t>
  </si>
  <si>
    <t xml:space="preserve">      实验室及相关设施</t>
  </si>
  <si>
    <t>实验室及相关设施</t>
  </si>
  <si>
    <t>2060205</t>
  </si>
  <si>
    <t xml:space="preserve">      重大科学工程</t>
  </si>
  <si>
    <t>重大科学工程</t>
  </si>
  <si>
    <t>2060206</t>
  </si>
  <si>
    <t xml:space="preserve">      专项基础科研</t>
  </si>
  <si>
    <t>专项基础科研</t>
  </si>
  <si>
    <t>2060207</t>
  </si>
  <si>
    <t xml:space="preserve">      专项技术基础</t>
  </si>
  <si>
    <t>专项技术基础</t>
  </si>
  <si>
    <t>2060208</t>
  </si>
  <si>
    <t xml:space="preserve">      科技人才队伍建设</t>
  </si>
  <si>
    <t>科技人才队伍建设</t>
  </si>
  <si>
    <t>2060299</t>
  </si>
  <si>
    <t xml:space="preserve">      其他基础研究支出</t>
  </si>
  <si>
    <t>其他基础研究支出</t>
  </si>
  <si>
    <t>应用研究</t>
  </si>
  <si>
    <t>2060301</t>
  </si>
  <si>
    <t>2060302</t>
  </si>
  <si>
    <t xml:space="preserve">      社会公益研究</t>
  </si>
  <si>
    <t>社会公益研究</t>
  </si>
  <si>
    <t>2060303</t>
  </si>
  <si>
    <t xml:space="preserve">      高技术研究</t>
  </si>
  <si>
    <t>高技术研究</t>
  </si>
  <si>
    <t>2060304</t>
  </si>
  <si>
    <t xml:space="preserve">      专项科研试制</t>
  </si>
  <si>
    <t>专项科研试制</t>
  </si>
  <si>
    <t>2060399</t>
  </si>
  <si>
    <t xml:space="preserve">      其他应用研究支出</t>
  </si>
  <si>
    <t>其他应用研究支出</t>
  </si>
  <si>
    <t>技术研究与开发</t>
  </si>
  <si>
    <t>2060401</t>
  </si>
  <si>
    <t>2060404</t>
  </si>
  <si>
    <t xml:space="preserve">      科技成果转化与扩散</t>
  </si>
  <si>
    <t>科技成果转化与扩散</t>
  </si>
  <si>
    <t>2060405</t>
  </si>
  <si>
    <t xml:space="preserve">      共性技术研究与开发</t>
  </si>
  <si>
    <t>共性技术研究与开发</t>
  </si>
  <si>
    <t>2060499</t>
  </si>
  <si>
    <t xml:space="preserve">      其他技术研究与开发支出</t>
  </si>
  <si>
    <t>其他技术研究与开发支出</t>
  </si>
  <si>
    <t>科技条件与服务</t>
  </si>
  <si>
    <t>2060501</t>
  </si>
  <si>
    <t>2060502</t>
  </si>
  <si>
    <t xml:space="preserve">      技术创新服务体系</t>
  </si>
  <si>
    <t>技术创新服务体系</t>
  </si>
  <si>
    <t>2060503</t>
  </si>
  <si>
    <t xml:space="preserve">      科技条件专项</t>
  </si>
  <si>
    <t>科技条件专项</t>
  </si>
  <si>
    <t>2060599</t>
  </si>
  <si>
    <t xml:space="preserve">      其他科技条件与服务支出</t>
  </si>
  <si>
    <t>其他科技条件与服务支出</t>
  </si>
  <si>
    <t>社会科学</t>
  </si>
  <si>
    <t>2060601</t>
  </si>
  <si>
    <t xml:space="preserve">      社会科学研究机构</t>
  </si>
  <si>
    <t>社会科学研究机构</t>
  </si>
  <si>
    <t>2060602</t>
  </si>
  <si>
    <t xml:space="preserve">      社会科学研究</t>
  </si>
  <si>
    <t>社会科学研究</t>
  </si>
  <si>
    <t>2060603</t>
  </si>
  <si>
    <t xml:space="preserve">      社科基金支出</t>
  </si>
  <si>
    <t>社科基金支出</t>
  </si>
  <si>
    <t>2060699</t>
  </si>
  <si>
    <t xml:space="preserve">      其他社会科学支出</t>
  </si>
  <si>
    <t>其他社会科学支出</t>
  </si>
  <si>
    <t>科学技术普及</t>
  </si>
  <si>
    <t>2060701</t>
  </si>
  <si>
    <t>2060702</t>
  </si>
  <si>
    <t xml:space="preserve">      科普活动</t>
  </si>
  <si>
    <t>科普活动</t>
  </si>
  <si>
    <t>2060703</t>
  </si>
  <si>
    <t xml:space="preserve">      青少年科技活动</t>
  </si>
  <si>
    <t>青少年科技活动</t>
  </si>
  <si>
    <t>2060704</t>
  </si>
  <si>
    <t xml:space="preserve">      学术交流活动</t>
  </si>
  <si>
    <t>学术交流活动</t>
  </si>
  <si>
    <t>2060705</t>
  </si>
  <si>
    <t xml:space="preserve">      科技馆站</t>
  </si>
  <si>
    <t>科技馆站</t>
  </si>
  <si>
    <t>2060799</t>
  </si>
  <si>
    <t xml:space="preserve">      其他科学技术普及支出</t>
  </si>
  <si>
    <t>其他科学技术普及支出</t>
  </si>
  <si>
    <t>科技交流与合作</t>
  </si>
  <si>
    <t>2060801</t>
  </si>
  <si>
    <t xml:space="preserve">      国际交流与合作</t>
  </si>
  <si>
    <t>国际交流与合作</t>
  </si>
  <si>
    <t>2060802</t>
  </si>
  <si>
    <t xml:space="preserve">      重大科技合作项目</t>
  </si>
  <si>
    <t>重大科技合作项目</t>
  </si>
  <si>
    <t>2060899</t>
  </si>
  <si>
    <t xml:space="preserve">      其他科技交流与合作支出</t>
  </si>
  <si>
    <t>其他科技交流与合作支出</t>
  </si>
  <si>
    <t>科技重大项目</t>
  </si>
  <si>
    <t>2060901</t>
  </si>
  <si>
    <t xml:space="preserve">      科技重大专项</t>
  </si>
  <si>
    <t>科技重大专项</t>
  </si>
  <si>
    <t>2060902</t>
  </si>
  <si>
    <t xml:space="preserve">      重点研发计划</t>
  </si>
  <si>
    <t>重点研发计划</t>
  </si>
  <si>
    <t>2060999</t>
  </si>
  <si>
    <t xml:space="preserve">      其他科技重大项目</t>
  </si>
  <si>
    <t>其他科技重大项目</t>
  </si>
  <si>
    <t>其他科学技术支出</t>
  </si>
  <si>
    <t>2069901</t>
  </si>
  <si>
    <t xml:space="preserve">      科技奖励</t>
  </si>
  <si>
    <t>科技奖励</t>
  </si>
  <si>
    <t>2069902</t>
  </si>
  <si>
    <t xml:space="preserve">      核应急</t>
  </si>
  <si>
    <t>核应急</t>
  </si>
  <si>
    <t>2069903</t>
  </si>
  <si>
    <t xml:space="preserve">      转制科研机构</t>
  </si>
  <si>
    <t>转制科研机构</t>
  </si>
  <si>
    <t>2069999</t>
  </si>
  <si>
    <t xml:space="preserve">      其他科学技术支出</t>
  </si>
  <si>
    <t>文化旅游体育与传媒支出</t>
  </si>
  <si>
    <t>文化和旅游</t>
  </si>
  <si>
    <t>2070101</t>
  </si>
  <si>
    <t>2070102</t>
  </si>
  <si>
    <t>2070103</t>
  </si>
  <si>
    <t>2070104</t>
  </si>
  <si>
    <t xml:space="preserve">      图书馆</t>
  </si>
  <si>
    <t>图书馆</t>
  </si>
  <si>
    <t>2070105</t>
  </si>
  <si>
    <t xml:space="preserve">      文化展示及纪念机构</t>
  </si>
  <si>
    <t>文化展示及纪念机构</t>
  </si>
  <si>
    <t>2070106</t>
  </si>
  <si>
    <t xml:space="preserve">      艺术表演场所</t>
  </si>
  <si>
    <t>艺术表演场所</t>
  </si>
  <si>
    <t>2070107</t>
  </si>
  <si>
    <t xml:space="preserve">      艺术表演团体</t>
  </si>
  <si>
    <t>艺术表演团体</t>
  </si>
  <si>
    <t>2070108</t>
  </si>
  <si>
    <t xml:space="preserve">      文化活动</t>
  </si>
  <si>
    <t>文化活动</t>
  </si>
  <si>
    <t>2070109</t>
  </si>
  <si>
    <t xml:space="preserve">      群众文化</t>
  </si>
  <si>
    <t>群众文化</t>
  </si>
  <si>
    <t>2070110</t>
  </si>
  <si>
    <t xml:space="preserve">      文化和旅游交流与合作</t>
  </si>
  <si>
    <t>文化和旅游交流与合作</t>
  </si>
  <si>
    <t>2070111</t>
  </si>
  <si>
    <t xml:space="preserve">      文化创作与保护</t>
  </si>
  <si>
    <t>文化创作与保护</t>
  </si>
  <si>
    <t>2070112</t>
  </si>
  <si>
    <t xml:space="preserve">      文化和旅游市场管理</t>
  </si>
  <si>
    <t>文化和旅游市场管理</t>
  </si>
  <si>
    <t>2070113</t>
  </si>
  <si>
    <t xml:space="preserve">      旅游宣传</t>
  </si>
  <si>
    <t>旅游宣传</t>
  </si>
  <si>
    <t>2070114</t>
  </si>
  <si>
    <t xml:space="preserve">      文化和旅游事务管理</t>
  </si>
  <si>
    <t>文化和旅游事务管理</t>
  </si>
  <si>
    <t>2070199</t>
  </si>
  <si>
    <t xml:space="preserve">      其他文化和旅游支出</t>
  </si>
  <si>
    <t>其他文化和旅游支出</t>
  </si>
  <si>
    <t>文物</t>
  </si>
  <si>
    <t>2070201</t>
  </si>
  <si>
    <t>2070202</t>
  </si>
  <si>
    <t>2070203</t>
  </si>
  <si>
    <t>2070204</t>
  </si>
  <si>
    <t xml:space="preserve">      文物保护</t>
  </si>
  <si>
    <t>文物保护</t>
  </si>
  <si>
    <t>2070205</t>
  </si>
  <si>
    <t xml:space="preserve">      博物馆</t>
  </si>
  <si>
    <t>博物馆</t>
  </si>
  <si>
    <t>2070206</t>
  </si>
  <si>
    <t xml:space="preserve">      历史名城与古迹</t>
  </si>
  <si>
    <t>历史名城与古迹</t>
  </si>
  <si>
    <t>2070299</t>
  </si>
  <si>
    <t xml:space="preserve">      其他文物支出</t>
  </si>
  <si>
    <t>其他文物支出</t>
  </si>
  <si>
    <t>体育</t>
  </si>
  <si>
    <t>2070301</t>
  </si>
  <si>
    <t>2070302</t>
  </si>
  <si>
    <t>2070303</t>
  </si>
  <si>
    <t>2070304</t>
  </si>
  <si>
    <t xml:space="preserve">      运动项目管理</t>
  </si>
  <si>
    <t>运动项目管理</t>
  </si>
  <si>
    <t>2070305</t>
  </si>
  <si>
    <t xml:space="preserve">      体育竞赛</t>
  </si>
  <si>
    <t>体育竞赛</t>
  </si>
  <si>
    <t>2070306</t>
  </si>
  <si>
    <t xml:space="preserve">      体育训练</t>
  </si>
  <si>
    <t>体育训练</t>
  </si>
  <si>
    <t>2070307</t>
  </si>
  <si>
    <t xml:space="preserve">      体育场馆</t>
  </si>
  <si>
    <t>体育场馆</t>
  </si>
  <si>
    <t>2070308</t>
  </si>
  <si>
    <t xml:space="preserve">      群众体育</t>
  </si>
  <si>
    <t>群众体育</t>
  </si>
  <si>
    <t>2070309</t>
  </si>
  <si>
    <t xml:space="preserve">      体育交流与合作</t>
  </si>
  <si>
    <t>体育交流与合作</t>
  </si>
  <si>
    <t>2070399</t>
  </si>
  <si>
    <t xml:space="preserve">      其他体育支出</t>
  </si>
  <si>
    <t>其他体育支出</t>
  </si>
  <si>
    <t>新闻出版电影</t>
  </si>
  <si>
    <t>2070601</t>
  </si>
  <si>
    <t>2070602</t>
  </si>
  <si>
    <t>2070603</t>
  </si>
  <si>
    <t>2070604</t>
  </si>
  <si>
    <t xml:space="preserve">      新闻通讯</t>
  </si>
  <si>
    <t>新闻通讯</t>
  </si>
  <si>
    <t>2070605</t>
  </si>
  <si>
    <t xml:space="preserve">      出版发行</t>
  </si>
  <si>
    <t>出版发行</t>
  </si>
  <si>
    <t>2070606</t>
  </si>
  <si>
    <t xml:space="preserve">      版权管理</t>
  </si>
  <si>
    <t>版权管理</t>
  </si>
  <si>
    <t>2070607</t>
  </si>
  <si>
    <t xml:space="preserve">      电影</t>
  </si>
  <si>
    <t>电影</t>
  </si>
  <si>
    <t>2070699</t>
  </si>
  <si>
    <t xml:space="preserve">      其他新闻出版电影支出</t>
  </si>
  <si>
    <t>其他新闻出版电影支出</t>
  </si>
  <si>
    <t>广播电视</t>
  </si>
  <si>
    <t>2070801</t>
  </si>
  <si>
    <t>2070802</t>
  </si>
  <si>
    <t>2070803</t>
  </si>
  <si>
    <t>2070806</t>
  </si>
  <si>
    <t xml:space="preserve">      监测监管</t>
  </si>
  <si>
    <t>监测监管</t>
  </si>
  <si>
    <t>2070807</t>
  </si>
  <si>
    <t xml:space="preserve">      传输发射</t>
  </si>
  <si>
    <t>传输发射</t>
  </si>
  <si>
    <t>2070808</t>
  </si>
  <si>
    <t xml:space="preserve">      广播电视事务</t>
  </si>
  <si>
    <t>广播电视事务</t>
  </si>
  <si>
    <t>2070899</t>
  </si>
  <si>
    <t xml:space="preserve">      其他广播电视支出</t>
  </si>
  <si>
    <t>其他广播电视支出</t>
  </si>
  <si>
    <t>其他文化体育与传媒支出</t>
  </si>
  <si>
    <t>2079903</t>
  </si>
  <si>
    <t xml:space="preserve">      文化产业发展专项支出</t>
  </si>
  <si>
    <t>文化产业发展专项支出</t>
  </si>
  <si>
    <t>2079999</t>
  </si>
  <si>
    <t xml:space="preserve">      其他文化体育与传媒支出</t>
  </si>
  <si>
    <t>社会保障和就业支出</t>
  </si>
  <si>
    <t>人力资源和社会保障管理事务</t>
  </si>
  <si>
    <t>2080101</t>
  </si>
  <si>
    <t>2080102</t>
  </si>
  <si>
    <t>2080103</t>
  </si>
  <si>
    <t>2080104</t>
  </si>
  <si>
    <t xml:space="preserve">      综合业务管理</t>
  </si>
  <si>
    <t>综合业务管理</t>
  </si>
  <si>
    <t>2080105</t>
  </si>
  <si>
    <t xml:space="preserve">      劳动保障监察</t>
  </si>
  <si>
    <t>劳动保障监察</t>
  </si>
  <si>
    <t>2080106</t>
  </si>
  <si>
    <t xml:space="preserve">      就业管理事务</t>
  </si>
  <si>
    <t>就业管理事务</t>
  </si>
  <si>
    <t>2080107</t>
  </si>
  <si>
    <t xml:space="preserve">      社会保险业务管理事务</t>
  </si>
  <si>
    <t>社会保险业务管理事务</t>
  </si>
  <si>
    <t>2080108</t>
  </si>
  <si>
    <t>2080109</t>
  </si>
  <si>
    <t xml:space="preserve">      社会保险经办机构</t>
  </si>
  <si>
    <t>社会保险经办机构</t>
  </si>
  <si>
    <t>2080110</t>
  </si>
  <si>
    <t xml:space="preserve">      劳动关系和维权</t>
  </si>
  <si>
    <t>劳动关系和维权</t>
  </si>
  <si>
    <t>2080111</t>
  </si>
  <si>
    <t xml:space="preserve">      公共就业服务和职业技能鉴定机构</t>
  </si>
  <si>
    <t>公共就业服务和职业技能鉴定机构</t>
  </si>
  <si>
    <t>2080112</t>
  </si>
  <si>
    <t xml:space="preserve">      劳动人事争议调解仲裁</t>
  </si>
  <si>
    <t>劳动人事争议调解仲裁</t>
  </si>
  <si>
    <t>2080113</t>
  </si>
  <si>
    <t xml:space="preserve">      政府特殊津贴</t>
  </si>
  <si>
    <t>政府特殊津贴</t>
  </si>
  <si>
    <t>2080114</t>
  </si>
  <si>
    <t xml:space="preserve">      资助留学回国人员</t>
  </si>
  <si>
    <t>资助留学回国人员</t>
  </si>
  <si>
    <t>2080115</t>
  </si>
  <si>
    <t xml:space="preserve">      博士后日常经费</t>
  </si>
  <si>
    <t>博士后日常经费</t>
  </si>
  <si>
    <t>2080116</t>
  </si>
  <si>
    <t xml:space="preserve">      引进人才费用</t>
  </si>
  <si>
    <t>引进人才费用</t>
  </si>
  <si>
    <t>2080150</t>
  </si>
  <si>
    <t>2080199</t>
  </si>
  <si>
    <t xml:space="preserve">      其他人力资源和社会保障管理事务支出</t>
  </si>
  <si>
    <t>其他人力资源和社会保障管理事务支出</t>
  </si>
  <si>
    <t>民政管理事务</t>
  </si>
  <si>
    <t>2080201</t>
  </si>
  <si>
    <t>2080202</t>
  </si>
  <si>
    <t>2080203</t>
  </si>
  <si>
    <t>2080206</t>
  </si>
  <si>
    <t xml:space="preserve">      民间组织管理</t>
  </si>
  <si>
    <t>民间组织管理</t>
  </si>
  <si>
    <t>2080207</t>
  </si>
  <si>
    <t xml:space="preserve">      行政区划和地名管理</t>
  </si>
  <si>
    <t>行政区划和地名管理</t>
  </si>
  <si>
    <t>2080208</t>
  </si>
  <si>
    <t xml:space="preserve">      基层政权建设和社区管理事务</t>
  </si>
  <si>
    <t>基层政权建设和社区管理事务</t>
  </si>
  <si>
    <t>2080209</t>
  </si>
  <si>
    <t xml:space="preserve">      老龄事务</t>
  </si>
  <si>
    <t>老龄事务</t>
  </si>
  <si>
    <t>2080299</t>
  </si>
  <si>
    <t xml:space="preserve">      其他民政管理事务支出</t>
  </si>
  <si>
    <t>其他民政管理事务支出</t>
  </si>
  <si>
    <t>补充全国社会保障基金</t>
  </si>
  <si>
    <t>2080402</t>
  </si>
  <si>
    <t xml:space="preserve">      用一般公共预算补充基金</t>
  </si>
  <si>
    <t>用一般公共预算补充基金</t>
  </si>
  <si>
    <t>行政事业单位离退休</t>
  </si>
  <si>
    <t>2080501</t>
  </si>
  <si>
    <t xml:space="preserve">      行政单位离退休</t>
  </si>
  <si>
    <t>行政单位离退休</t>
  </si>
  <si>
    <t>2080502</t>
  </si>
  <si>
    <t xml:space="preserve">      事业单位离退休</t>
  </si>
  <si>
    <t>事业单位离退休</t>
  </si>
  <si>
    <t>2080503</t>
  </si>
  <si>
    <t xml:space="preserve">      离退休人员管理机构</t>
  </si>
  <si>
    <t>离退休人员管理机构</t>
  </si>
  <si>
    <t>2080505</t>
  </si>
  <si>
    <t xml:space="preserve">      机关事业单位基本养老保险缴费支出</t>
  </si>
  <si>
    <t>机关事业单位基本养老保险缴费支出</t>
  </si>
  <si>
    <t>2080506</t>
  </si>
  <si>
    <t xml:space="preserve">      机关事业单位职业年金缴费支出</t>
  </si>
  <si>
    <t>机关事业单位职业年金缴费支出</t>
  </si>
  <si>
    <t>2080507</t>
  </si>
  <si>
    <t xml:space="preserve">      对机关事业单位基本养老保险基金的补助</t>
  </si>
  <si>
    <t>对机关事业单位基本养老保险基金的补助</t>
  </si>
  <si>
    <t>2080508</t>
  </si>
  <si>
    <t xml:space="preserve">      对机关事业单位职业年金的补助</t>
  </si>
  <si>
    <t>对机关事业单位职业年金的补助</t>
  </si>
  <si>
    <t>2080599</t>
  </si>
  <si>
    <t xml:space="preserve">      其他行政事业单位养老支出</t>
  </si>
  <si>
    <t>其他行政事业单位养老支出</t>
  </si>
  <si>
    <t>企业改革补助</t>
  </si>
  <si>
    <t>2080601</t>
  </si>
  <si>
    <t xml:space="preserve">      企业关闭破产补助</t>
  </si>
  <si>
    <t>企业关闭破产补助</t>
  </si>
  <si>
    <t>2080602</t>
  </si>
  <si>
    <t xml:space="preserve">      厂办大集体改革补助</t>
  </si>
  <si>
    <t>厂办大集体改革补助</t>
  </si>
  <si>
    <t>2080699</t>
  </si>
  <si>
    <t xml:space="preserve">      其他企业改革发展补助</t>
  </si>
  <si>
    <t>其他企业改革发展补助</t>
  </si>
  <si>
    <t>就业补助</t>
  </si>
  <si>
    <t>2080701</t>
  </si>
  <si>
    <t xml:space="preserve">      就业创业服务补贴</t>
  </si>
  <si>
    <t>就业创业服务补贴</t>
  </si>
  <si>
    <t>2080702</t>
  </si>
  <si>
    <t xml:space="preserve">      职业培训补贴</t>
  </si>
  <si>
    <t>职业培训补贴</t>
  </si>
  <si>
    <t>2080704</t>
  </si>
  <si>
    <t xml:space="preserve">      社会保险补贴</t>
  </si>
  <si>
    <t>社会保险补贴</t>
  </si>
  <si>
    <t>2080705</t>
  </si>
  <si>
    <t xml:space="preserve">      公益性岗位补贴</t>
  </si>
  <si>
    <t>公益性岗位补贴</t>
  </si>
  <si>
    <t>2080709</t>
  </si>
  <si>
    <t xml:space="preserve">      职业技能评价补贴</t>
  </si>
  <si>
    <t>职业技能评价补贴</t>
  </si>
  <si>
    <t>2080711</t>
  </si>
  <si>
    <t xml:space="preserve">      就业见习补贴</t>
  </si>
  <si>
    <t>就业见习补贴</t>
  </si>
  <si>
    <t>2080712</t>
  </si>
  <si>
    <t xml:space="preserve">      高技能人才培养补助</t>
  </si>
  <si>
    <t>高技能人才培养补助</t>
  </si>
  <si>
    <t>2080713</t>
  </si>
  <si>
    <t xml:space="preserve">      求职和创业补贴</t>
  </si>
  <si>
    <t>求职和创业补贴</t>
  </si>
  <si>
    <t>2080799</t>
  </si>
  <si>
    <t xml:space="preserve">      其他就业补助支出</t>
  </si>
  <si>
    <t>其他就业补助支出</t>
  </si>
  <si>
    <t>抚恤</t>
  </si>
  <si>
    <t>2080801</t>
  </si>
  <si>
    <t xml:space="preserve">      死亡抚恤</t>
  </si>
  <si>
    <t>死亡抚恤</t>
  </si>
  <si>
    <t>2080802</t>
  </si>
  <si>
    <t xml:space="preserve">      伤残抚恤</t>
  </si>
  <si>
    <t>伤残抚恤</t>
  </si>
  <si>
    <t>2080803</t>
  </si>
  <si>
    <t xml:space="preserve">      在乡复员、退伍军人生活补助</t>
  </si>
  <si>
    <t>在乡复员、退伍军人生活补助</t>
  </si>
  <si>
    <t>2080805</t>
  </si>
  <si>
    <t xml:space="preserve">      义务兵优待</t>
  </si>
  <si>
    <t>义务兵优待</t>
  </si>
  <si>
    <t>2080806</t>
  </si>
  <si>
    <t xml:space="preserve">      农村籍退役士兵老年生活补助</t>
  </si>
  <si>
    <t>农村籍退役士兵老年生活补助</t>
  </si>
  <si>
    <t>2080807</t>
  </si>
  <si>
    <t xml:space="preserve">      光荣院</t>
  </si>
  <si>
    <t>光荣院</t>
  </si>
  <si>
    <t>2080808</t>
  </si>
  <si>
    <t xml:space="preserve">      褒奖纪念</t>
  </si>
  <si>
    <t>褒奖纪念</t>
  </si>
  <si>
    <t>2080899</t>
  </si>
  <si>
    <t xml:space="preserve">      其他优抚支出</t>
  </si>
  <si>
    <t>其他优抚支出</t>
  </si>
  <si>
    <t>退役安置</t>
  </si>
  <si>
    <t>2080901</t>
  </si>
  <si>
    <t xml:space="preserve">      退役士兵安置</t>
  </si>
  <si>
    <t>退役士兵安置</t>
  </si>
  <si>
    <t>2080902</t>
  </si>
  <si>
    <t xml:space="preserve">      军队移交政府的离退休人员安置</t>
  </si>
  <si>
    <t>军队移交政府的离退休人员安置</t>
  </si>
  <si>
    <t>2080903</t>
  </si>
  <si>
    <t xml:space="preserve">      军队移交政府离退休干部管理机构</t>
  </si>
  <si>
    <t>军队移交政府离退休干部管理机构</t>
  </si>
  <si>
    <t>2080904</t>
  </si>
  <si>
    <t xml:space="preserve">      退役士兵管理教育</t>
  </si>
  <si>
    <t>退役士兵管理教育</t>
  </si>
  <si>
    <t>2080905</t>
  </si>
  <si>
    <t xml:space="preserve">      军队转业干部安置</t>
  </si>
  <si>
    <t>军队转业干部安置</t>
  </si>
  <si>
    <t>2080999</t>
  </si>
  <si>
    <t xml:space="preserve">      其他退役安置支出</t>
  </si>
  <si>
    <t>其他退役安置支出</t>
  </si>
  <si>
    <t>社会福利</t>
  </si>
  <si>
    <t>2081001</t>
  </si>
  <si>
    <t xml:space="preserve">      儿童福利</t>
  </si>
  <si>
    <t>儿童福利</t>
  </si>
  <si>
    <t>2081002</t>
  </si>
  <si>
    <t xml:space="preserve">      老年福利</t>
  </si>
  <si>
    <t>老年福利</t>
  </si>
  <si>
    <t>2081003</t>
  </si>
  <si>
    <t xml:space="preserve">      康复辅具</t>
  </si>
  <si>
    <t>康复辅具</t>
  </si>
  <si>
    <t>2081004</t>
  </si>
  <si>
    <t xml:space="preserve">      殡葬</t>
  </si>
  <si>
    <t>殡葬</t>
  </si>
  <si>
    <t>2081005</t>
  </si>
  <si>
    <t xml:space="preserve">      社会福利事业单位</t>
  </si>
  <si>
    <t>社会福利事业单位</t>
  </si>
  <si>
    <t>2081006</t>
  </si>
  <si>
    <t xml:space="preserve">      养老服务</t>
  </si>
  <si>
    <t>养老服务</t>
  </si>
  <si>
    <t>2081099</t>
  </si>
  <si>
    <t xml:space="preserve">      其他社会福利支出</t>
  </si>
  <si>
    <t>其他社会福利支出</t>
  </si>
  <si>
    <t>残疾人事业</t>
  </si>
  <si>
    <t>2081101</t>
  </si>
  <si>
    <t>2081102</t>
  </si>
  <si>
    <t>2081103</t>
  </si>
  <si>
    <t>2081104</t>
  </si>
  <si>
    <t xml:space="preserve">      残疾人康复</t>
  </si>
  <si>
    <t>残疾人康复</t>
  </si>
  <si>
    <t>2081105</t>
  </si>
  <si>
    <t xml:space="preserve">      残疾人就业</t>
  </si>
  <si>
    <t>残疾人就业</t>
  </si>
  <si>
    <t>2081106</t>
  </si>
  <si>
    <t xml:space="preserve">      残疾人体育</t>
  </si>
  <si>
    <t>残疾人体育</t>
  </si>
  <si>
    <t>2081107</t>
  </si>
  <si>
    <t xml:space="preserve">      残疾人生活和护理补贴</t>
  </si>
  <si>
    <t>残疾人生活和护理补贴</t>
  </si>
  <si>
    <t>2081199</t>
  </si>
  <si>
    <t xml:space="preserve">      其他残疾人事业支出</t>
  </si>
  <si>
    <t>其他残疾人事业支出</t>
  </si>
  <si>
    <t>红十字事业</t>
  </si>
  <si>
    <t>2081601</t>
  </si>
  <si>
    <t>2081602</t>
  </si>
  <si>
    <t>2081603</t>
  </si>
  <si>
    <t>2081650</t>
  </si>
  <si>
    <t>2081699</t>
  </si>
  <si>
    <t xml:space="preserve">      其他红十字事业支出</t>
  </si>
  <si>
    <t>其他红十字事业支出</t>
  </si>
  <si>
    <t>最低生活保障</t>
  </si>
  <si>
    <t>2081901</t>
  </si>
  <si>
    <t xml:space="preserve">      城市最低生活保障金支出</t>
  </si>
  <si>
    <t>城市最低生活保障金支出</t>
  </si>
  <si>
    <t>2081902</t>
  </si>
  <si>
    <t xml:space="preserve">      农村最低生活保障金支出</t>
  </si>
  <si>
    <t>农村最低生活保障金支出</t>
  </si>
  <si>
    <t>临时救助</t>
  </si>
  <si>
    <t>2082001</t>
  </si>
  <si>
    <t xml:space="preserve">      临时救助支出</t>
  </si>
  <si>
    <t>临时救助支出</t>
  </si>
  <si>
    <t>2082002</t>
  </si>
  <si>
    <t xml:space="preserve">      流浪乞讨人员救助支出</t>
  </si>
  <si>
    <t>流浪乞讨人员救助支出</t>
  </si>
  <si>
    <t>特困人员救助供养</t>
  </si>
  <si>
    <t>2082101</t>
  </si>
  <si>
    <t xml:space="preserve">      城市特困人员救助供养支出</t>
  </si>
  <si>
    <t>城市特困人员救助供养支出</t>
  </si>
  <si>
    <t>2082102</t>
  </si>
  <si>
    <t xml:space="preserve">      农村特困人员救助供养支出</t>
  </si>
  <si>
    <t>农村特困人员救助供养支出</t>
  </si>
  <si>
    <t>补充道路交通事故社会救助基金</t>
  </si>
  <si>
    <t>2082401</t>
  </si>
  <si>
    <t xml:space="preserve">      对道路交通事故社会救助补助基金支出</t>
  </si>
  <si>
    <t>对道路交通事故社会救助补助基金支出</t>
  </si>
  <si>
    <t>2082402</t>
  </si>
  <si>
    <t xml:space="preserve">      交强险罚款收入补助基金支出</t>
  </si>
  <si>
    <t>交强险罚款收入补助基金支出</t>
  </si>
  <si>
    <t>其他生活救助</t>
  </si>
  <si>
    <t>2082501</t>
  </si>
  <si>
    <t xml:space="preserve">      其他城市生活救助</t>
  </si>
  <si>
    <t>其他城市生活救助</t>
  </si>
  <si>
    <t>2082502</t>
  </si>
  <si>
    <t xml:space="preserve">      其他农村生活救助</t>
  </si>
  <si>
    <t>其他农村生活救助</t>
  </si>
  <si>
    <t>财政对基本养老保险基金的补助</t>
  </si>
  <si>
    <t>2082601</t>
  </si>
  <si>
    <t xml:space="preserve">      财政对企业职工基本养老保险基金的补助</t>
  </si>
  <si>
    <t>财政对企业职工基本养老保险基金的补助</t>
  </si>
  <si>
    <t>2082602</t>
  </si>
  <si>
    <t xml:space="preserve">      财政对城乡居民基本养老保险基金的补助</t>
  </si>
  <si>
    <t>财政对城乡居民基本养老保险基金的补助</t>
  </si>
  <si>
    <t>2082699</t>
  </si>
  <si>
    <t xml:space="preserve">      财政对其他基本养老保险基金的补助</t>
  </si>
  <si>
    <t>财政对其他基本养老保险基金的补助</t>
  </si>
  <si>
    <t>财政对其他社会保险基金的补助</t>
  </si>
  <si>
    <t>2082701</t>
  </si>
  <si>
    <t xml:space="preserve">      财政对失业保险基金的补助</t>
  </si>
  <si>
    <t>财政对失业保险基金的补助</t>
  </si>
  <si>
    <t>2082702</t>
  </si>
  <si>
    <t xml:space="preserve">      财政对工伤保险基金的补助</t>
  </si>
  <si>
    <t>财政对工伤保险基金的补助</t>
  </si>
  <si>
    <t>2082799</t>
  </si>
  <si>
    <t xml:space="preserve">      其他财政对社会保险基金的补助</t>
  </si>
  <si>
    <t>其他财政对社会保险基金的补助</t>
  </si>
  <si>
    <t>退役军人管理事务</t>
  </si>
  <si>
    <t>2082801</t>
  </si>
  <si>
    <t>2082802</t>
  </si>
  <si>
    <t>2082803</t>
  </si>
  <si>
    <t>2082804</t>
  </si>
  <si>
    <t xml:space="preserve">      拥军优属</t>
  </si>
  <si>
    <t>拥军优属</t>
  </si>
  <si>
    <t>2082805</t>
  </si>
  <si>
    <t xml:space="preserve">      军供保障</t>
  </si>
  <si>
    <t>军供保障</t>
  </si>
  <si>
    <t>2082806</t>
  </si>
  <si>
    <t>2082850</t>
  </si>
  <si>
    <t>2082899</t>
  </si>
  <si>
    <t xml:space="preserve">      其他退役军人事务管理支出</t>
  </si>
  <si>
    <t>其他退役军人事务管理支出</t>
  </si>
  <si>
    <t>财政代缴社会保险费支出</t>
  </si>
  <si>
    <t>2083001</t>
  </si>
  <si>
    <t xml:space="preserve">      财政代缴城乡居民基本养老保险费支出</t>
  </si>
  <si>
    <t>财政代缴城乡居民基本养老保险费支出</t>
  </si>
  <si>
    <t>2083099</t>
  </si>
  <si>
    <t xml:space="preserve">      财政代缴其他社会保险费支出</t>
  </si>
  <si>
    <t>财政代缴其他社会保险费支出</t>
  </si>
  <si>
    <t>其他社会保障和就业支出</t>
  </si>
  <si>
    <t>2089999</t>
  </si>
  <si>
    <t xml:space="preserve">      其他社会保障和就业支出</t>
  </si>
  <si>
    <t>卫生健康支出</t>
  </si>
  <si>
    <t>卫生健康管理事务</t>
  </si>
  <si>
    <t>2100101</t>
  </si>
  <si>
    <t>2100102</t>
  </si>
  <si>
    <t>2100103</t>
  </si>
  <si>
    <t>2100199</t>
  </si>
  <si>
    <t xml:space="preserve">      其他卫生健康管理事务支出</t>
  </si>
  <si>
    <t>其他卫生健康管理事务支出</t>
  </si>
  <si>
    <t>公立医院</t>
  </si>
  <si>
    <t>2100201</t>
  </si>
  <si>
    <t xml:space="preserve">      综合医院</t>
  </si>
  <si>
    <t>综合医院</t>
  </si>
  <si>
    <t>2100202</t>
  </si>
  <si>
    <t xml:space="preserve">      中医（民族）医院</t>
  </si>
  <si>
    <t>中医（民族）医院</t>
  </si>
  <si>
    <t>2100203</t>
  </si>
  <si>
    <t xml:space="preserve">      传染病医院</t>
  </si>
  <si>
    <t>传染病医院</t>
  </si>
  <si>
    <t>2100204</t>
  </si>
  <si>
    <t xml:space="preserve">      职业病防治医院</t>
  </si>
  <si>
    <t>职业病防治医院</t>
  </si>
  <si>
    <t>2100205</t>
  </si>
  <si>
    <t xml:space="preserve">      精神病医院</t>
  </si>
  <si>
    <t>精神病医院</t>
  </si>
  <si>
    <t>2100206</t>
  </si>
  <si>
    <t xml:space="preserve">      妇幼保健医院</t>
  </si>
  <si>
    <t>妇产医院</t>
  </si>
  <si>
    <t>2100207</t>
  </si>
  <si>
    <t xml:space="preserve">      儿童医院</t>
  </si>
  <si>
    <t>儿童医院</t>
  </si>
  <si>
    <t>2100208</t>
  </si>
  <si>
    <t xml:space="preserve">      其他专科医院</t>
  </si>
  <si>
    <t>其他专科医院</t>
  </si>
  <si>
    <t>2100209</t>
  </si>
  <si>
    <t xml:space="preserve">      福利医院</t>
  </si>
  <si>
    <t>福利医院</t>
  </si>
  <si>
    <t>2100210</t>
  </si>
  <si>
    <t xml:space="preserve">      行业医院</t>
  </si>
  <si>
    <t>行业医院</t>
  </si>
  <si>
    <t>2100211</t>
  </si>
  <si>
    <t xml:space="preserve">      处理医疗欠费</t>
  </si>
  <si>
    <t>处理医疗欠费</t>
  </si>
  <si>
    <t>2100212</t>
  </si>
  <si>
    <t xml:space="preserve">      康复医院</t>
  </si>
  <si>
    <t>康复医院</t>
  </si>
  <si>
    <t>2100213</t>
  </si>
  <si>
    <t xml:space="preserve">      优抚医院</t>
  </si>
  <si>
    <t>优抚医院</t>
  </si>
  <si>
    <t>2100299</t>
  </si>
  <si>
    <t xml:space="preserve">      其他公立医院支出</t>
  </si>
  <si>
    <t>其他公立医院支出</t>
  </si>
  <si>
    <t>基层医疗卫生机构</t>
  </si>
  <si>
    <t>2100301</t>
  </si>
  <si>
    <t xml:space="preserve">      城市社区卫生机构</t>
  </si>
  <si>
    <t>城市社区卫生机构</t>
  </si>
  <si>
    <t>2100302</t>
  </si>
  <si>
    <t xml:space="preserve">      乡镇卫生院</t>
  </si>
  <si>
    <t>乡镇卫生院</t>
  </si>
  <si>
    <t>2100399</t>
  </si>
  <si>
    <t xml:space="preserve">      其他基层医疗卫生机构支出</t>
  </si>
  <si>
    <t>其他基层医疗卫生机构支出</t>
  </si>
  <si>
    <t>公共卫生</t>
  </si>
  <si>
    <t>2100401</t>
  </si>
  <si>
    <t xml:space="preserve">      疾病预防控制机构</t>
  </si>
  <si>
    <t>疾病预防控制机构</t>
  </si>
  <si>
    <t>2100402</t>
  </si>
  <si>
    <t xml:space="preserve">      卫生监督机构</t>
  </si>
  <si>
    <t>卫生监督机构</t>
  </si>
  <si>
    <t>2100403</t>
  </si>
  <si>
    <t xml:space="preserve">      妇幼保健机构</t>
  </si>
  <si>
    <t>妇幼保健机构</t>
  </si>
  <si>
    <t>2100404</t>
  </si>
  <si>
    <t xml:space="preserve">      精神卫生机构</t>
  </si>
  <si>
    <t>精神卫生机构</t>
  </si>
  <si>
    <t>2100405</t>
  </si>
  <si>
    <t xml:space="preserve">      应急救治机构</t>
  </si>
  <si>
    <t>应急救治机构</t>
  </si>
  <si>
    <t>2100406</t>
  </si>
  <si>
    <t xml:space="preserve">      采供血机构</t>
  </si>
  <si>
    <t>采供血机构</t>
  </si>
  <si>
    <t>2100407</t>
  </si>
  <si>
    <t xml:space="preserve">      其他专业公共卫生机构</t>
  </si>
  <si>
    <t>其他专业公共卫生机构</t>
  </si>
  <si>
    <t>2100408</t>
  </si>
  <si>
    <t xml:space="preserve">      基本公共卫生服务</t>
  </si>
  <si>
    <t>基本公共卫生服务</t>
  </si>
  <si>
    <t>2100409</t>
  </si>
  <si>
    <t xml:space="preserve">      重大公共卫生专项</t>
  </si>
  <si>
    <t>重大公共卫生专项</t>
  </si>
  <si>
    <t>2100410</t>
  </si>
  <si>
    <t xml:space="preserve">      突发公共卫生事件应急处理</t>
  </si>
  <si>
    <t>突发公共卫生事件应急处理</t>
  </si>
  <si>
    <t>2100499</t>
  </si>
  <si>
    <t xml:space="preserve">      其他公共卫生支出</t>
  </si>
  <si>
    <t>其他公共卫生支出</t>
  </si>
  <si>
    <t>计划生育事务</t>
  </si>
  <si>
    <t>2100716</t>
  </si>
  <si>
    <t xml:space="preserve">      计划生育机构</t>
  </si>
  <si>
    <t>计划生育机构</t>
  </si>
  <si>
    <t>2100717</t>
  </si>
  <si>
    <t xml:space="preserve">      计划生育服务</t>
  </si>
  <si>
    <t>计划生育服务</t>
  </si>
  <si>
    <t>2100799</t>
  </si>
  <si>
    <t xml:space="preserve">      其他计划生育事务支出</t>
  </si>
  <si>
    <t>其他计划生育事务支出</t>
  </si>
  <si>
    <t>行政事业单位医疗</t>
  </si>
  <si>
    <t>2101101</t>
  </si>
  <si>
    <t xml:space="preserve">      行政单位医疗</t>
  </si>
  <si>
    <t>行政单位医疗</t>
  </si>
  <si>
    <t>2101102</t>
  </si>
  <si>
    <t xml:space="preserve">      事业单位医疗</t>
  </si>
  <si>
    <t>事业单位医疗</t>
  </si>
  <si>
    <t>2101103</t>
  </si>
  <si>
    <t xml:space="preserve">      公务员医疗补助</t>
  </si>
  <si>
    <t>公务员医疗补助</t>
  </si>
  <si>
    <t>2101199</t>
  </si>
  <si>
    <t xml:space="preserve">      其他行政事业单位医疗支出</t>
  </si>
  <si>
    <t>其他行政事业单位医疗支出</t>
  </si>
  <si>
    <t>财政对基本医疗保险基金的补助</t>
  </si>
  <si>
    <t>2101201</t>
  </si>
  <si>
    <t xml:space="preserve">      财政对职工基本医疗保险基金的补助</t>
  </si>
  <si>
    <t>财政对职工基本医疗保险基金的补助</t>
  </si>
  <si>
    <t>2101202</t>
  </si>
  <si>
    <t xml:space="preserve">      财政对城乡居民基本医疗保险基金的补助</t>
  </si>
  <si>
    <t>财政对城乡居民基本医疗保险基金的补助</t>
  </si>
  <si>
    <t>2101299</t>
  </si>
  <si>
    <t xml:space="preserve">      财政对其他基本医疗保险基金的补助</t>
  </si>
  <si>
    <t>财政对其他基本医疗保险基金的补助</t>
  </si>
  <si>
    <t>医疗救助</t>
  </si>
  <si>
    <t>2101301</t>
  </si>
  <si>
    <t xml:space="preserve">      城乡医疗救助</t>
  </si>
  <si>
    <t>城乡医疗救助</t>
  </si>
  <si>
    <t>2101302</t>
  </si>
  <si>
    <t xml:space="preserve">      疾病应急救助</t>
  </si>
  <si>
    <t>疾病应急救助</t>
  </si>
  <si>
    <t>2101399</t>
  </si>
  <si>
    <t xml:space="preserve">      其他医疗救助支出</t>
  </si>
  <si>
    <t>其他医疗救助支出</t>
  </si>
  <si>
    <t>优抚对象医疗</t>
  </si>
  <si>
    <t>2101401</t>
  </si>
  <si>
    <t xml:space="preserve">      优抚对象医疗补助</t>
  </si>
  <si>
    <t>优抚对象医疗补助</t>
  </si>
  <si>
    <t>2101499</t>
  </si>
  <si>
    <t xml:space="preserve">      其他优抚对象医疗支出</t>
  </si>
  <si>
    <t>其他优抚对象医疗支出</t>
  </si>
  <si>
    <t>医疗保障管理事务</t>
  </si>
  <si>
    <t>2101501</t>
  </si>
  <si>
    <t>2101502</t>
  </si>
  <si>
    <t>2101503</t>
  </si>
  <si>
    <t>2101504</t>
  </si>
  <si>
    <t>2101505</t>
  </si>
  <si>
    <t xml:space="preserve">      医疗保障政策管理</t>
  </si>
  <si>
    <t>医疗保障政策管理</t>
  </si>
  <si>
    <t>2101506</t>
  </si>
  <si>
    <t xml:space="preserve">      医疗保障经办事务</t>
  </si>
  <si>
    <t>医疗保障经办事务</t>
  </si>
  <si>
    <t>2101550</t>
  </si>
  <si>
    <t>2101599</t>
  </si>
  <si>
    <t xml:space="preserve">      其他医疗保障管理事务支出</t>
  </si>
  <si>
    <t>其他医疗保障管理事务支出</t>
  </si>
  <si>
    <t xml:space="preserve">    中医药事务</t>
  </si>
  <si>
    <t>中医药事务</t>
  </si>
  <si>
    <t>2101701</t>
  </si>
  <si>
    <t>2101702</t>
  </si>
  <si>
    <t>2101703</t>
  </si>
  <si>
    <t>2101704</t>
  </si>
  <si>
    <t xml:space="preserve">      中医（民族医）药专项</t>
  </si>
  <si>
    <t>中医（民族医）药专项</t>
  </si>
  <si>
    <t>2101750</t>
  </si>
  <si>
    <t>2101799</t>
  </si>
  <si>
    <t xml:space="preserve">      其他中医药支出</t>
  </si>
  <si>
    <t>其他中医药支出</t>
  </si>
  <si>
    <t>疾病预防控制事务</t>
  </si>
  <si>
    <t>2101801</t>
  </si>
  <si>
    <t>2101802</t>
  </si>
  <si>
    <t>2101803</t>
  </si>
  <si>
    <t>2101899</t>
  </si>
  <si>
    <t xml:space="preserve">      其他疾病预防控制事务支出</t>
  </si>
  <si>
    <t>其他疾病预防控制事务支出</t>
  </si>
  <si>
    <t>21019</t>
  </si>
  <si>
    <t xml:space="preserve">    托育服务</t>
  </si>
  <si>
    <t>2101901</t>
  </si>
  <si>
    <t xml:space="preserve">      托育机构</t>
  </si>
  <si>
    <t>托育机构</t>
  </si>
  <si>
    <t>2101999</t>
  </si>
  <si>
    <t xml:space="preserve">      其他托育服务支出</t>
  </si>
  <si>
    <t>其他托育服务支出</t>
  </si>
  <si>
    <t>其他卫生健康支出</t>
  </si>
  <si>
    <t>2109999</t>
  </si>
  <si>
    <t>节能环保支出</t>
  </si>
  <si>
    <t>环境保护管理事务</t>
  </si>
  <si>
    <t>2110101</t>
  </si>
  <si>
    <t>2110102</t>
  </si>
  <si>
    <t>2110103</t>
  </si>
  <si>
    <t>2110104</t>
  </si>
  <si>
    <t xml:space="preserve">      生态环境保护宣传</t>
  </si>
  <si>
    <t>生态环境保护宣传</t>
  </si>
  <si>
    <t>2110105</t>
  </si>
  <si>
    <t xml:space="preserve">      环境保护法规、规划及标准</t>
  </si>
  <si>
    <t>环境保护法规、规划及标准</t>
  </si>
  <si>
    <t>2110106</t>
  </si>
  <si>
    <t xml:space="preserve">      生态环境国际合作及履约</t>
  </si>
  <si>
    <t>生态环境国际合作及履约</t>
  </si>
  <si>
    <t>2110107</t>
  </si>
  <si>
    <t xml:space="preserve">      生态环境保护行政许可</t>
  </si>
  <si>
    <t>生态环境保护行政许可</t>
  </si>
  <si>
    <t>2110108</t>
  </si>
  <si>
    <t xml:space="preserve">      应对气候变化管理事务</t>
  </si>
  <si>
    <t>应对气候变化管理事务</t>
  </si>
  <si>
    <t>2110199</t>
  </si>
  <si>
    <t xml:space="preserve">      其他环境保护管理事务支出</t>
  </si>
  <si>
    <t>其他环境保护管理事务支出</t>
  </si>
  <si>
    <t>环境监测与监察</t>
  </si>
  <si>
    <t>2110203</t>
  </si>
  <si>
    <t xml:space="preserve">      建设项目环评审查与监督</t>
  </si>
  <si>
    <t>建设项目环评审查与监督</t>
  </si>
  <si>
    <t>2110204</t>
  </si>
  <si>
    <t xml:space="preserve">      核与辐射安全监督</t>
  </si>
  <si>
    <t>核与辐射安全监督</t>
  </si>
  <si>
    <t>2110299</t>
  </si>
  <si>
    <t xml:space="preserve">      其他环境监测与监察支出</t>
  </si>
  <si>
    <t>其他环境监测与监察支出</t>
  </si>
  <si>
    <t>污染防治</t>
  </si>
  <si>
    <t>2110301</t>
  </si>
  <si>
    <t xml:space="preserve">      大气</t>
  </si>
  <si>
    <t>大气</t>
  </si>
  <si>
    <t>2110302</t>
  </si>
  <si>
    <t xml:space="preserve">      水体</t>
  </si>
  <si>
    <t>水体</t>
  </si>
  <si>
    <t>2110303</t>
  </si>
  <si>
    <t xml:space="preserve">      噪声</t>
  </si>
  <si>
    <t>噪声</t>
  </si>
  <si>
    <t>2110304</t>
  </si>
  <si>
    <t xml:space="preserve">      固体废弃物与化学品</t>
  </si>
  <si>
    <t>固体废弃物与化学品</t>
  </si>
  <si>
    <t>2110305</t>
  </si>
  <si>
    <t xml:space="preserve">      放射源和放射性废物监管</t>
  </si>
  <si>
    <t>放射源和放射性废物监管</t>
  </si>
  <si>
    <t>2110306</t>
  </si>
  <si>
    <t xml:space="preserve">      辐射</t>
  </si>
  <si>
    <t>辐射</t>
  </si>
  <si>
    <t>2110307</t>
  </si>
  <si>
    <t xml:space="preserve">      土壤</t>
  </si>
  <si>
    <t>土壤</t>
  </si>
  <si>
    <t>2110399</t>
  </si>
  <si>
    <t xml:space="preserve">      其他污染防治支出</t>
  </si>
  <si>
    <t>其他污染防治支出</t>
  </si>
  <si>
    <t>自然生态保护</t>
  </si>
  <si>
    <t>2110401</t>
  </si>
  <si>
    <t xml:space="preserve">      生态保护</t>
  </si>
  <si>
    <t>生态保护</t>
  </si>
  <si>
    <t>2110402</t>
  </si>
  <si>
    <t xml:space="preserve">      农村环境保护</t>
  </si>
  <si>
    <t>农村环境保护</t>
  </si>
  <si>
    <t>2110404</t>
  </si>
  <si>
    <t xml:space="preserve">      生物及物种资源保护</t>
  </si>
  <si>
    <t>生物及物种资源保护</t>
  </si>
  <si>
    <t>2110405</t>
  </si>
  <si>
    <t xml:space="preserve">      草原生态修复治理</t>
  </si>
  <si>
    <t>草原生态修复治理</t>
  </si>
  <si>
    <t>2110406</t>
  </si>
  <si>
    <t xml:space="preserve">      自然保护地</t>
  </si>
  <si>
    <t>2110403</t>
  </si>
  <si>
    <t>自然保护区</t>
  </si>
  <si>
    <t>2110499</t>
  </si>
  <si>
    <t xml:space="preserve">      其他自然生态保护支出</t>
  </si>
  <si>
    <t>其他自然生态保护支出</t>
  </si>
  <si>
    <t xml:space="preserve">    森林保护修复</t>
  </si>
  <si>
    <t>天然林保护</t>
  </si>
  <si>
    <t>2110501</t>
  </si>
  <si>
    <t xml:space="preserve">      森林管护</t>
  </si>
  <si>
    <t>森林管护</t>
  </si>
  <si>
    <t>2110502</t>
  </si>
  <si>
    <t xml:space="preserve">      社会保险补助</t>
  </si>
  <si>
    <t>社会保险补助</t>
  </si>
  <si>
    <t>2110503</t>
  </si>
  <si>
    <t xml:space="preserve">      政策性社会性支出补助</t>
  </si>
  <si>
    <t>政策性社会性支出补助</t>
  </si>
  <si>
    <t>2110506</t>
  </si>
  <si>
    <t xml:space="preserve">      天然林保护工程建设</t>
  </si>
  <si>
    <t>天然林保护工程建设</t>
  </si>
  <si>
    <t>2110507</t>
  </si>
  <si>
    <t xml:space="preserve">      停伐补助</t>
  </si>
  <si>
    <t>停伐补助</t>
  </si>
  <si>
    <t>2110599</t>
  </si>
  <si>
    <t xml:space="preserve">      其他森林保护修复支出</t>
  </si>
  <si>
    <t>其他森林保护修复支出</t>
  </si>
  <si>
    <t>风沙荒漠治理</t>
  </si>
  <si>
    <t>2110704</t>
  </si>
  <si>
    <t xml:space="preserve">      京津风沙源治理工程建设</t>
  </si>
  <si>
    <t>京津风沙源治理工程建设</t>
  </si>
  <si>
    <t>2110799</t>
  </si>
  <si>
    <t xml:space="preserve">      其他风沙荒漠治理支出</t>
  </si>
  <si>
    <t>其他风沙荒漠治理支出</t>
  </si>
  <si>
    <t>退牧还草</t>
  </si>
  <si>
    <t>2110804</t>
  </si>
  <si>
    <t xml:space="preserve">      退牧还草工程建设</t>
  </si>
  <si>
    <t>退牧还草工程建设</t>
  </si>
  <si>
    <t>2110899</t>
  </si>
  <si>
    <t xml:space="preserve">      其他退牧还草支出</t>
  </si>
  <si>
    <t>其他退牧还草支出</t>
  </si>
  <si>
    <t>已垦草原退耕还草</t>
  </si>
  <si>
    <t>2110901</t>
  </si>
  <si>
    <t xml:space="preserve">      已垦草原退耕还草</t>
  </si>
  <si>
    <t>能源节约利用</t>
  </si>
  <si>
    <t>2111001</t>
  </si>
  <si>
    <t xml:space="preserve">      能源节约利用</t>
  </si>
  <si>
    <t>污染减排</t>
  </si>
  <si>
    <t>2111101</t>
  </si>
  <si>
    <t xml:space="preserve">      生态环境监测与信息</t>
  </si>
  <si>
    <t>生态环境监测与信息</t>
  </si>
  <si>
    <t>2111102</t>
  </si>
  <si>
    <t xml:space="preserve">      生态环境执法监察</t>
  </si>
  <si>
    <t>生态环境执法监察</t>
  </si>
  <si>
    <t>2111103</t>
  </si>
  <si>
    <t xml:space="preserve">      减排专项支出</t>
  </si>
  <si>
    <t>减排专项支出</t>
  </si>
  <si>
    <t>2111104</t>
  </si>
  <si>
    <t xml:space="preserve">      清洁生产专项支出</t>
  </si>
  <si>
    <t>清洁生产专项支出</t>
  </si>
  <si>
    <t>2111199</t>
  </si>
  <si>
    <t xml:space="preserve">      其他污染减排支出</t>
  </si>
  <si>
    <t>其他污染减排支出</t>
  </si>
  <si>
    <t xml:space="preserve">    清洁能源</t>
  </si>
  <si>
    <t>可再生能源</t>
  </si>
  <si>
    <t>2111201</t>
  </si>
  <si>
    <t xml:space="preserve">      可再生能源</t>
  </si>
  <si>
    <t>2111299</t>
  </si>
  <si>
    <t xml:space="preserve">      其他清洁能源支出</t>
  </si>
  <si>
    <t>其他清洁能源支出</t>
  </si>
  <si>
    <t>循环经济</t>
  </si>
  <si>
    <t>2111301</t>
  </si>
  <si>
    <t xml:space="preserve">      循环经济</t>
  </si>
  <si>
    <t>能源管理事务</t>
  </si>
  <si>
    <t>2111401</t>
  </si>
  <si>
    <t>2111402</t>
  </si>
  <si>
    <t>2111403</t>
  </si>
  <si>
    <t>2111406</t>
  </si>
  <si>
    <t xml:space="preserve">      能源科技装备</t>
  </si>
  <si>
    <t>能源科技装备</t>
  </si>
  <si>
    <t>2111407</t>
  </si>
  <si>
    <t xml:space="preserve">      能源行业管理</t>
  </si>
  <si>
    <t>能源行业管理</t>
  </si>
  <si>
    <t>2111408</t>
  </si>
  <si>
    <t xml:space="preserve">      能源管理</t>
  </si>
  <si>
    <t>能源管理</t>
  </si>
  <si>
    <t>2111411</t>
  </si>
  <si>
    <t>2111413</t>
  </si>
  <si>
    <t xml:space="preserve">      农村电网建设</t>
  </si>
  <si>
    <t>农村电网建设</t>
  </si>
  <si>
    <t>2111450</t>
  </si>
  <si>
    <t>2111499</t>
  </si>
  <si>
    <t xml:space="preserve">      其他能源管理事务支出</t>
  </si>
  <si>
    <t>其他能源管理事务支出</t>
  </si>
  <si>
    <t>其他节能环保支出</t>
  </si>
  <si>
    <t>2119999</t>
  </si>
  <si>
    <t xml:space="preserve">      其他节能环保支出</t>
  </si>
  <si>
    <t>城乡社区支出</t>
  </si>
  <si>
    <t xml:space="preserve">    城乡社区管理事务</t>
  </si>
  <si>
    <t>城乡社区管理事务</t>
  </si>
  <si>
    <t>2120101</t>
  </si>
  <si>
    <t>2120102</t>
  </si>
  <si>
    <t>2120103</t>
  </si>
  <si>
    <t>2120104</t>
  </si>
  <si>
    <t xml:space="preserve">      城管执法</t>
  </si>
  <si>
    <t>城管执法</t>
  </si>
  <si>
    <t>2120105</t>
  </si>
  <si>
    <t xml:space="preserve">      工程建设标准规范编制与监管</t>
  </si>
  <si>
    <t>工程建设标准规范编制与监管</t>
  </si>
  <si>
    <t>2120106</t>
  </si>
  <si>
    <t xml:space="preserve">      工程建设管理</t>
  </si>
  <si>
    <t>工程建设管理</t>
  </si>
  <si>
    <t>2120107</t>
  </si>
  <si>
    <t xml:space="preserve">      市政公用行业市场监管</t>
  </si>
  <si>
    <t>市政公用行业市场监管</t>
  </si>
  <si>
    <t>2120109</t>
  </si>
  <si>
    <t xml:space="preserve">      住宅建设与房地产市场监管</t>
  </si>
  <si>
    <t>住宅建设与房地产市场监管</t>
  </si>
  <si>
    <t>2120110</t>
  </si>
  <si>
    <t xml:space="preserve">      执业资格注册、资质审查</t>
  </si>
  <si>
    <t>执业资格注册、资质审查</t>
  </si>
  <si>
    <t>2120199</t>
  </si>
  <si>
    <t xml:space="preserve">      其他城乡社区管理事务支出</t>
  </si>
  <si>
    <t>其他城乡社区管理事务支出</t>
  </si>
  <si>
    <t xml:space="preserve">    城乡社区规划与管理</t>
  </si>
  <si>
    <t>城乡社区规划与管理</t>
  </si>
  <si>
    <t>2120201</t>
  </si>
  <si>
    <t xml:space="preserve">    城乡社区公共设施</t>
  </si>
  <si>
    <t>城乡社区公共设施</t>
  </si>
  <si>
    <t>2120303</t>
  </si>
  <si>
    <t xml:space="preserve">      小城镇基础设施建设</t>
  </si>
  <si>
    <t>小城镇基础设施建设</t>
  </si>
  <si>
    <t>2120399</t>
  </si>
  <si>
    <t xml:space="preserve">      其他城乡社区公共设施支出</t>
  </si>
  <si>
    <t>其他城乡社区公共设施支出</t>
  </si>
  <si>
    <t xml:space="preserve">    城乡社区环境卫生</t>
  </si>
  <si>
    <t>城乡社区环境卫生</t>
  </si>
  <si>
    <t>2120501</t>
  </si>
  <si>
    <t xml:space="preserve">    建设市场管理与监督</t>
  </si>
  <si>
    <t>建设市场管理与监督</t>
  </si>
  <si>
    <t>2120601</t>
  </si>
  <si>
    <t xml:space="preserve">    其他城乡社区支出</t>
  </si>
  <si>
    <t>其他城乡社区支出</t>
  </si>
  <si>
    <t>2129999</t>
  </si>
  <si>
    <t>农林水支出</t>
  </si>
  <si>
    <t xml:space="preserve">    农业农村</t>
  </si>
  <si>
    <t>农业农村</t>
  </si>
  <si>
    <t>2130101</t>
  </si>
  <si>
    <t>2130102</t>
  </si>
  <si>
    <t>2130103</t>
  </si>
  <si>
    <t>2130104</t>
  </si>
  <si>
    <t>2130105</t>
  </si>
  <si>
    <t xml:space="preserve">      农垦运行</t>
  </si>
  <si>
    <t>农垦运行</t>
  </si>
  <si>
    <t>2130106</t>
  </si>
  <si>
    <t xml:space="preserve">      科技转化与推广服务</t>
  </si>
  <si>
    <t>科技转化与推广服务</t>
  </si>
  <si>
    <t>2130108</t>
  </si>
  <si>
    <t xml:space="preserve">      病虫害控制</t>
  </si>
  <si>
    <t>病虫害控制</t>
  </si>
  <si>
    <t>2130109</t>
  </si>
  <si>
    <t xml:space="preserve">      农产品质量安全</t>
  </si>
  <si>
    <t>农产品质量安全</t>
  </si>
  <si>
    <t>2130110</t>
  </si>
  <si>
    <t xml:space="preserve">      执法监管</t>
  </si>
  <si>
    <t>执法监管</t>
  </si>
  <si>
    <t>2130111</t>
  </si>
  <si>
    <t xml:space="preserve">      统计监测与信息服务</t>
  </si>
  <si>
    <t>统计监测与信息服务</t>
  </si>
  <si>
    <t>2130112</t>
  </si>
  <si>
    <t xml:space="preserve">      农业行业业务管理</t>
  </si>
  <si>
    <t>农业行业业务管理</t>
  </si>
  <si>
    <t>2130114</t>
  </si>
  <si>
    <t xml:space="preserve">      对外交流与合作</t>
  </si>
  <si>
    <t>对外交流与合作</t>
  </si>
  <si>
    <t>2130119</t>
  </si>
  <si>
    <t xml:space="preserve">      防灾救灾</t>
  </si>
  <si>
    <t>防灾救灾</t>
  </si>
  <si>
    <t>2130120</t>
  </si>
  <si>
    <t xml:space="preserve">      稳定农民收入补贴</t>
  </si>
  <si>
    <t>稳定农民收入补贴</t>
  </si>
  <si>
    <t>2130121</t>
  </si>
  <si>
    <t xml:space="preserve">      农业结构调整补贴</t>
  </si>
  <si>
    <t>农业结构调整补贴</t>
  </si>
  <si>
    <t>2130122</t>
  </si>
  <si>
    <t xml:space="preserve">      农业生产发展</t>
  </si>
  <si>
    <t>农业生产发展</t>
  </si>
  <si>
    <t>2130124</t>
  </si>
  <si>
    <t xml:space="preserve">      农村合作经济</t>
  </si>
  <si>
    <t>农村合作经济</t>
  </si>
  <si>
    <t>2130125</t>
  </si>
  <si>
    <t xml:space="preserve">      农产品加工与促销</t>
  </si>
  <si>
    <t>农产品加工与促销</t>
  </si>
  <si>
    <t>2130126</t>
  </si>
  <si>
    <t xml:space="preserve">      农村社会事业</t>
  </si>
  <si>
    <t>农村社会事业</t>
  </si>
  <si>
    <t>2130135</t>
  </si>
  <si>
    <t xml:space="preserve">      农业生态资源保护</t>
  </si>
  <si>
    <t>农业生态资源保护</t>
  </si>
  <si>
    <t>2130142</t>
  </si>
  <si>
    <t xml:space="preserve">      农村道路建设</t>
  </si>
  <si>
    <t>农村道路建设</t>
  </si>
  <si>
    <t>2130148</t>
  </si>
  <si>
    <t xml:space="preserve">      渔业发展</t>
  </si>
  <si>
    <t>渔业发展</t>
  </si>
  <si>
    <t>2130152</t>
  </si>
  <si>
    <t xml:space="preserve">      对高校毕业生到基层任职补助</t>
  </si>
  <si>
    <t>对高校毕业生到基层任职补助</t>
  </si>
  <si>
    <t>2130153</t>
  </si>
  <si>
    <t xml:space="preserve">      耕地建设与利用</t>
  </si>
  <si>
    <t>耕地建设与利用</t>
  </si>
  <si>
    <t>2130199</t>
  </si>
  <si>
    <t xml:space="preserve">      其他农业支出</t>
  </si>
  <si>
    <t>其他农业支出</t>
  </si>
  <si>
    <t xml:space="preserve">    林业和草原</t>
  </si>
  <si>
    <t>林业和草原</t>
  </si>
  <si>
    <t>2130201</t>
  </si>
  <si>
    <t>2130202</t>
  </si>
  <si>
    <t>2130203</t>
  </si>
  <si>
    <t>2130204</t>
  </si>
  <si>
    <t xml:space="preserve">      事业机构</t>
  </si>
  <si>
    <t>事业机构</t>
  </si>
  <si>
    <t>2130205</t>
  </si>
  <si>
    <t xml:space="preserve">      森林资源培育</t>
  </si>
  <si>
    <t>森林资源培育</t>
  </si>
  <si>
    <t>2130206</t>
  </si>
  <si>
    <t xml:space="preserve">      技术推广与转化</t>
  </si>
  <si>
    <t>技术推广与转化</t>
  </si>
  <si>
    <t>2130207</t>
  </si>
  <si>
    <t xml:space="preserve">      森林资源管理</t>
  </si>
  <si>
    <t>森林资源管理</t>
  </si>
  <si>
    <t>2130209</t>
  </si>
  <si>
    <t xml:space="preserve">      森林生态效益补偿</t>
  </si>
  <si>
    <t>森林生态效益补偿</t>
  </si>
  <si>
    <t>2130211</t>
  </si>
  <si>
    <t xml:space="preserve">      动植物保护</t>
  </si>
  <si>
    <t>动植物保护</t>
  </si>
  <si>
    <t>2130212</t>
  </si>
  <si>
    <t xml:space="preserve">      湿地保护</t>
  </si>
  <si>
    <t>湿地保护</t>
  </si>
  <si>
    <t>2130213</t>
  </si>
  <si>
    <t xml:space="preserve">      执法与监督</t>
  </si>
  <si>
    <t>执法与监督</t>
  </si>
  <si>
    <t>2130217</t>
  </si>
  <si>
    <t xml:space="preserve">      防沙治沙</t>
  </si>
  <si>
    <t>防沙治沙</t>
  </si>
  <si>
    <t>2130220</t>
  </si>
  <si>
    <t xml:space="preserve">      对外合作与交流</t>
  </si>
  <si>
    <t>2130221</t>
  </si>
  <si>
    <t xml:space="preserve">      产业化管理</t>
  </si>
  <si>
    <t>产业化管理</t>
  </si>
  <si>
    <t>2130223</t>
  </si>
  <si>
    <t xml:space="preserve">      信息管理</t>
  </si>
  <si>
    <t>信息管理</t>
  </si>
  <si>
    <t>2130226</t>
  </si>
  <si>
    <t xml:space="preserve">      林区公共支出</t>
  </si>
  <si>
    <t>林区公共支出</t>
  </si>
  <si>
    <t>2130227</t>
  </si>
  <si>
    <t xml:space="preserve">      贷款贴息</t>
  </si>
  <si>
    <t>贷款贴息</t>
  </si>
  <si>
    <t>2130234</t>
  </si>
  <si>
    <t xml:space="preserve">      林业草原防灾减灾</t>
  </si>
  <si>
    <t>林业草原防灾减灾</t>
  </si>
  <si>
    <t>2130236</t>
  </si>
  <si>
    <t xml:space="preserve">      草原管理</t>
  </si>
  <si>
    <t>草原管理</t>
  </si>
  <si>
    <t>2130237</t>
  </si>
  <si>
    <t xml:space="preserve">      行业业务管理</t>
  </si>
  <si>
    <t>行业业务管理</t>
  </si>
  <si>
    <t>2130238</t>
  </si>
  <si>
    <t xml:space="preserve">      退耕还林还草</t>
  </si>
  <si>
    <t>退耕还林还草</t>
  </si>
  <si>
    <t>2130299</t>
  </si>
  <si>
    <t xml:space="preserve">      其他林业和草原支出</t>
  </si>
  <si>
    <t>其他林业和草原支出</t>
  </si>
  <si>
    <t xml:space="preserve">    水利</t>
  </si>
  <si>
    <t>水利</t>
  </si>
  <si>
    <t>2130301</t>
  </si>
  <si>
    <t>2130302</t>
  </si>
  <si>
    <t>2130303</t>
  </si>
  <si>
    <t>2130304</t>
  </si>
  <si>
    <t xml:space="preserve">      水利行业业务管理</t>
  </si>
  <si>
    <t>水利行业业务管理</t>
  </si>
  <si>
    <t>2130305</t>
  </si>
  <si>
    <t xml:space="preserve">      水利工程建设</t>
  </si>
  <si>
    <t>水利工程建设</t>
  </si>
  <si>
    <t>2130306</t>
  </si>
  <si>
    <t xml:space="preserve">      水利工程运行与维护</t>
  </si>
  <si>
    <t>水利工程运行与维护</t>
  </si>
  <si>
    <t>2130307</t>
  </si>
  <si>
    <t xml:space="preserve">      长江黄河等流域管理</t>
  </si>
  <si>
    <t>长江黄河等流域管理</t>
  </si>
  <si>
    <t>2130308</t>
  </si>
  <si>
    <t xml:space="preserve">      水利前期工作</t>
  </si>
  <si>
    <t>水利前期工作</t>
  </si>
  <si>
    <t>2130309</t>
  </si>
  <si>
    <t xml:space="preserve">      水利执法监督</t>
  </si>
  <si>
    <t>水利执法监督</t>
  </si>
  <si>
    <t>2130310</t>
  </si>
  <si>
    <t xml:space="preserve">      水土保持</t>
  </si>
  <si>
    <t>水土保持</t>
  </si>
  <si>
    <t>2130311</t>
  </si>
  <si>
    <t xml:space="preserve">      水资源节约管理与保护</t>
  </si>
  <si>
    <t>水资源节约管理与保护</t>
  </si>
  <si>
    <t>2130312</t>
  </si>
  <si>
    <t xml:space="preserve">      水质监测</t>
  </si>
  <si>
    <t>水质监测</t>
  </si>
  <si>
    <t>2130313</t>
  </si>
  <si>
    <t xml:space="preserve">      水文测报</t>
  </si>
  <si>
    <t>水文测报</t>
  </si>
  <si>
    <t>2130314</t>
  </si>
  <si>
    <t xml:space="preserve">      防汛</t>
  </si>
  <si>
    <t>防汛</t>
  </si>
  <si>
    <t>2130315</t>
  </si>
  <si>
    <t xml:space="preserve">      抗旱</t>
  </si>
  <si>
    <t>抗旱</t>
  </si>
  <si>
    <t>2130316</t>
  </si>
  <si>
    <t xml:space="preserve">      农村水利</t>
  </si>
  <si>
    <t>农村水利</t>
  </si>
  <si>
    <t>2130317</t>
  </si>
  <si>
    <t xml:space="preserve">      水利技术推广</t>
  </si>
  <si>
    <t>水利技术推广</t>
  </si>
  <si>
    <t>2130318</t>
  </si>
  <si>
    <t xml:space="preserve">      国际河流治理与管理</t>
  </si>
  <si>
    <t>国际河流治理与管理</t>
  </si>
  <si>
    <t>2130319</t>
  </si>
  <si>
    <t xml:space="preserve">      江河湖库水系综合整治</t>
  </si>
  <si>
    <t>江河湖库水系综合整治</t>
  </si>
  <si>
    <t>2130321</t>
  </si>
  <si>
    <t xml:space="preserve">      大中型水库移民后期扶持专项支出</t>
  </si>
  <si>
    <t>大中型水库移民后期扶持专项支出</t>
  </si>
  <si>
    <t>2130322</t>
  </si>
  <si>
    <t xml:space="preserve">      水利安全监督</t>
  </si>
  <si>
    <t>水利安全监督</t>
  </si>
  <si>
    <t>2130333</t>
  </si>
  <si>
    <t>2130334</t>
  </si>
  <si>
    <t xml:space="preserve">      水利建设征地及移民支出</t>
  </si>
  <si>
    <t>水利建设征地及移民支出</t>
  </si>
  <si>
    <t>2130335</t>
  </si>
  <si>
    <t xml:space="preserve">      农村供水</t>
  </si>
  <si>
    <t>农村供水</t>
  </si>
  <si>
    <t>2130336</t>
  </si>
  <si>
    <t>南水北调工程建设</t>
  </si>
  <si>
    <t>2130337</t>
  </si>
  <si>
    <t xml:space="preserve">      南水北调工程管理</t>
  </si>
  <si>
    <t>南水北调工程管理</t>
  </si>
  <si>
    <t>2130399</t>
  </si>
  <si>
    <t xml:space="preserve">      其他水利支出</t>
  </si>
  <si>
    <t>其他水利支出</t>
  </si>
  <si>
    <t xml:space="preserve">    巩固脱贫攻坚成果衔接乡村振兴</t>
  </si>
  <si>
    <t>扶贫</t>
  </si>
  <si>
    <t>2130501</t>
  </si>
  <si>
    <t>机构职能调整，删除科目，相关支出转列农业
农村21301款相应项级科目</t>
  </si>
  <si>
    <t>2130502</t>
  </si>
  <si>
    <t>2130503</t>
  </si>
  <si>
    <t>2130504</t>
  </si>
  <si>
    <t xml:space="preserve">      农村基础设施建设</t>
  </si>
  <si>
    <t>农村基础设施建设</t>
  </si>
  <si>
    <t>2130505</t>
  </si>
  <si>
    <t xml:space="preserve">      生产发展</t>
  </si>
  <si>
    <t>生产发展</t>
  </si>
  <si>
    <t>2130506</t>
  </si>
  <si>
    <t xml:space="preserve">      社会发展</t>
  </si>
  <si>
    <t>社会发展</t>
  </si>
  <si>
    <t>2130507</t>
  </si>
  <si>
    <t xml:space="preserve">      贷款奖补和贴息</t>
  </si>
  <si>
    <t>扶贫贷款奖补和贴息</t>
  </si>
  <si>
    <t>2130508</t>
  </si>
  <si>
    <t xml:space="preserve">       “三西”农业建设专项补助</t>
  </si>
  <si>
    <t>“三西”农业建设专项补助</t>
  </si>
  <si>
    <t>2130550</t>
  </si>
  <si>
    <t>扶贫事业机构</t>
  </si>
  <si>
    <t>2130599</t>
  </si>
  <si>
    <t xml:space="preserve">      其他巩固脱贫攻坚成果衔接乡村振兴支出</t>
  </si>
  <si>
    <t>其他扶贫支出</t>
  </si>
  <si>
    <t xml:space="preserve">    农村综合改革</t>
  </si>
  <si>
    <t>农村综合改革</t>
  </si>
  <si>
    <t>2130701</t>
  </si>
  <si>
    <t xml:space="preserve">      对村级公益事业建设的补助</t>
  </si>
  <si>
    <t>对村级公益事业建设的补助</t>
  </si>
  <si>
    <t>2130705</t>
  </si>
  <si>
    <t xml:space="preserve">      对村民委员会和村党支部的补助</t>
  </si>
  <si>
    <t>对村民委员会和村党支部的补助</t>
  </si>
  <si>
    <t>2130706</t>
  </si>
  <si>
    <t xml:space="preserve">      对村集体经济组织的补助</t>
  </si>
  <si>
    <t>对村集体经济组织的补助</t>
  </si>
  <si>
    <t>2130707</t>
  </si>
  <si>
    <t xml:space="preserve">      农村综合改革示范试点补助</t>
  </si>
  <si>
    <t>农村综合改革示范试点补助</t>
  </si>
  <si>
    <t>2130799</t>
  </si>
  <si>
    <t xml:space="preserve">      其他农村综合改革支出</t>
  </si>
  <si>
    <t>其他农村综合改革支出</t>
  </si>
  <si>
    <t xml:space="preserve">    普惠金融发展支出</t>
  </si>
  <si>
    <t>普惠金融发展支出</t>
  </si>
  <si>
    <t>2130801</t>
  </si>
  <si>
    <t xml:space="preserve">      支持农村金融机构</t>
  </si>
  <si>
    <t>支持农村金融机构</t>
  </si>
  <si>
    <t>2130803</t>
  </si>
  <si>
    <t xml:space="preserve">      农业保险保费补贴</t>
  </si>
  <si>
    <t>农业保险保费补贴</t>
  </si>
  <si>
    <t>2130804</t>
  </si>
  <si>
    <t xml:space="preserve">      创业担保贷款贴息及奖补</t>
  </si>
  <si>
    <t>创业担保贷款贴息及奖补</t>
  </si>
  <si>
    <t>2130805</t>
  </si>
  <si>
    <t xml:space="preserve">      补充创业担保贷款基金</t>
  </si>
  <si>
    <t>补充创业担保贷款基金</t>
  </si>
  <si>
    <t>2130899</t>
  </si>
  <si>
    <t xml:space="preserve">      其他普惠金融发展支出</t>
  </si>
  <si>
    <t>其他普惠金融发展支出</t>
  </si>
  <si>
    <t xml:space="preserve">    目标价格补贴</t>
  </si>
  <si>
    <t>目标价格补贴</t>
  </si>
  <si>
    <t>2130901</t>
  </si>
  <si>
    <t xml:space="preserve">      棉花目标价格补贴</t>
  </si>
  <si>
    <t>棉花目标价格补贴</t>
  </si>
  <si>
    <t>2130999</t>
  </si>
  <si>
    <t xml:space="preserve">      其他目标价格补贴</t>
  </si>
  <si>
    <t>其他目标价格补贴</t>
  </si>
  <si>
    <t xml:space="preserve">    其他农林水支出</t>
  </si>
  <si>
    <t>其他农林水支出</t>
  </si>
  <si>
    <t>2139901</t>
  </si>
  <si>
    <t xml:space="preserve">      化解其他公益性乡村债务支出</t>
  </si>
  <si>
    <t>化解其他公益性乡村债务支出</t>
  </si>
  <si>
    <t>2139999</t>
  </si>
  <si>
    <t>交通运输支出</t>
  </si>
  <si>
    <t xml:space="preserve">    公路水路运输</t>
  </si>
  <si>
    <t>公路水路运输</t>
  </si>
  <si>
    <t>2140101</t>
  </si>
  <si>
    <t>2140102</t>
  </si>
  <si>
    <t>2140103</t>
  </si>
  <si>
    <t>2140104</t>
  </si>
  <si>
    <t>公路建设</t>
  </si>
  <si>
    <t>2140106</t>
  </si>
  <si>
    <t>公路养护</t>
  </si>
  <si>
    <t>2140109</t>
  </si>
  <si>
    <t xml:space="preserve">      交通运输信息化建设</t>
  </si>
  <si>
    <t>交通运输信息化建设</t>
  </si>
  <si>
    <t>2140110</t>
  </si>
  <si>
    <t xml:space="preserve">      公路和运输安全</t>
  </si>
  <si>
    <t>公路和运输安全</t>
  </si>
  <si>
    <t>2140112</t>
  </si>
  <si>
    <t xml:space="preserve">      公路运输管理</t>
  </si>
  <si>
    <t>公路运输管理</t>
  </si>
  <si>
    <t>2140114</t>
  </si>
  <si>
    <t xml:space="preserve">      公路和运输技术标准化建设</t>
  </si>
  <si>
    <t>公路和运输技术标准化建设</t>
  </si>
  <si>
    <t>2140122</t>
  </si>
  <si>
    <t xml:space="preserve">      水运建设</t>
  </si>
  <si>
    <t>水运建设</t>
  </si>
  <si>
    <t>2140123</t>
  </si>
  <si>
    <t xml:space="preserve">      航道维护</t>
  </si>
  <si>
    <t>航道维护</t>
  </si>
  <si>
    <t>2140127</t>
  </si>
  <si>
    <t xml:space="preserve">      船舶检验</t>
  </si>
  <si>
    <t>船舶检验</t>
  </si>
  <si>
    <t>2140128</t>
  </si>
  <si>
    <t xml:space="preserve">      救助打捞</t>
  </si>
  <si>
    <t>救助打捞</t>
  </si>
  <si>
    <t>2140129</t>
  </si>
  <si>
    <t xml:space="preserve">      内河运输</t>
  </si>
  <si>
    <t>内河运输</t>
  </si>
  <si>
    <t>2140130</t>
  </si>
  <si>
    <t xml:space="preserve">      远洋运输</t>
  </si>
  <si>
    <t>远洋运输</t>
  </si>
  <si>
    <t>2140131</t>
  </si>
  <si>
    <t xml:space="preserve">      海事管理</t>
  </si>
  <si>
    <t>海事管理</t>
  </si>
  <si>
    <t>2140133</t>
  </si>
  <si>
    <t xml:space="preserve">      航标事业发展支出</t>
  </si>
  <si>
    <t>航标事业发展支出</t>
  </si>
  <si>
    <t>2140136</t>
  </si>
  <si>
    <t xml:space="preserve">      水路运输管理支出</t>
  </si>
  <si>
    <t>水路运输管理支出</t>
  </si>
  <si>
    <t>2140138</t>
  </si>
  <si>
    <t xml:space="preserve">      口岸建设</t>
  </si>
  <si>
    <t>口岸建设</t>
  </si>
  <si>
    <t>2140199</t>
  </si>
  <si>
    <t xml:space="preserve">      其他公路水路运输支出</t>
  </si>
  <si>
    <t>其他公路水路运输支出</t>
  </si>
  <si>
    <t xml:space="preserve">    铁路运输</t>
  </si>
  <si>
    <t>铁路运输</t>
  </si>
  <si>
    <t>2140201</t>
  </si>
  <si>
    <t>2140202</t>
  </si>
  <si>
    <t>2140203</t>
  </si>
  <si>
    <t>2140204</t>
  </si>
  <si>
    <t xml:space="preserve">      铁路路网建设</t>
  </si>
  <si>
    <t>铁路路网建设</t>
  </si>
  <si>
    <t>2140205</t>
  </si>
  <si>
    <t xml:space="preserve">      铁路还贷专项</t>
  </si>
  <si>
    <t>铁路还贷专项</t>
  </si>
  <si>
    <t>2140206</t>
  </si>
  <si>
    <t xml:space="preserve">      铁路安全</t>
  </si>
  <si>
    <t>铁路安全</t>
  </si>
  <si>
    <t>2140207</t>
  </si>
  <si>
    <t xml:space="preserve">      铁路专项运输</t>
  </si>
  <si>
    <t>铁路专项运输</t>
  </si>
  <si>
    <t>2140208</t>
  </si>
  <si>
    <t xml:space="preserve">      行业监管</t>
  </si>
  <si>
    <t>行业监管</t>
  </si>
  <si>
    <t>2140299</t>
  </si>
  <si>
    <t xml:space="preserve">      其他铁路运输支出</t>
  </si>
  <si>
    <t>其他铁路运输支出</t>
  </si>
  <si>
    <t xml:space="preserve">    民用航空运输</t>
  </si>
  <si>
    <t>民用航空运输</t>
  </si>
  <si>
    <t>2140301</t>
  </si>
  <si>
    <t>2140302</t>
  </si>
  <si>
    <t>2140303</t>
  </si>
  <si>
    <t>2140304</t>
  </si>
  <si>
    <t xml:space="preserve">      机场建设</t>
  </si>
  <si>
    <t>机场建设</t>
  </si>
  <si>
    <t>2140305</t>
  </si>
  <si>
    <t>空管系统建设</t>
  </si>
  <si>
    <t>2140306</t>
  </si>
  <si>
    <t xml:space="preserve">      民航还贷专项支出</t>
  </si>
  <si>
    <t>民航还贷专项支出</t>
  </si>
  <si>
    <t>2140307</t>
  </si>
  <si>
    <t xml:space="preserve">      民用航空安全</t>
  </si>
  <si>
    <t>民用航空安全</t>
  </si>
  <si>
    <t>2140308</t>
  </si>
  <si>
    <t xml:space="preserve">      民航专项运输</t>
  </si>
  <si>
    <t>民航专项运输</t>
  </si>
  <si>
    <t>2140399</t>
  </si>
  <si>
    <t xml:space="preserve">      其他民用航空运输支出</t>
  </si>
  <si>
    <t>其他民用航空运输支出</t>
  </si>
  <si>
    <t xml:space="preserve">    邮政业支出</t>
  </si>
  <si>
    <t>邮政业支出</t>
  </si>
  <si>
    <t>2140501</t>
  </si>
  <si>
    <t>2140502</t>
  </si>
  <si>
    <t>2140503</t>
  </si>
  <si>
    <t>2140504</t>
  </si>
  <si>
    <t>2140505</t>
  </si>
  <si>
    <t xml:space="preserve">      邮政普遍服务与特殊服务</t>
  </si>
  <si>
    <t>邮政普遍服务与特殊服务</t>
  </si>
  <si>
    <t>2140599</t>
  </si>
  <si>
    <t xml:space="preserve">      其他邮政业支出</t>
  </si>
  <si>
    <t>其他邮政业支出</t>
  </si>
  <si>
    <t xml:space="preserve">    其他交通运输支出</t>
  </si>
  <si>
    <t>其他交通运输支出</t>
  </si>
  <si>
    <t>2149901</t>
  </si>
  <si>
    <t xml:space="preserve">      公共交通运营补助</t>
  </si>
  <si>
    <t>公共交通运营补助</t>
  </si>
  <si>
    <t>2149999</t>
  </si>
  <si>
    <t>资源勘探信息等支出</t>
  </si>
  <si>
    <t xml:space="preserve">    资源勘探开发</t>
  </si>
  <si>
    <t>资源勘探开发</t>
  </si>
  <si>
    <t>2150101</t>
  </si>
  <si>
    <t>2150102</t>
  </si>
  <si>
    <t>2150103</t>
  </si>
  <si>
    <t>2150104</t>
  </si>
  <si>
    <t xml:space="preserve">      煤炭勘探开采和洗选</t>
  </si>
  <si>
    <t>煤炭勘探开采和洗选</t>
  </si>
  <si>
    <t>2150105</t>
  </si>
  <si>
    <t xml:space="preserve">      石油和天然气勘探开采</t>
  </si>
  <si>
    <t>石油和天然气勘探开采</t>
  </si>
  <si>
    <t>2150106</t>
  </si>
  <si>
    <t xml:space="preserve">      黑色金属矿勘探和采选</t>
  </si>
  <si>
    <t>黑色金属矿勘探和采选</t>
  </si>
  <si>
    <t>2150107</t>
  </si>
  <si>
    <t xml:space="preserve">      有色金属矿勘探和采选</t>
  </si>
  <si>
    <t>有色金属矿勘探和采选</t>
  </si>
  <si>
    <t>2150108</t>
  </si>
  <si>
    <t xml:space="preserve">      非金属矿勘探和采选</t>
  </si>
  <si>
    <t>非金属矿勘探和采选</t>
  </si>
  <si>
    <t>2150199</t>
  </si>
  <si>
    <t xml:space="preserve">      其他资源勘探业支出</t>
  </si>
  <si>
    <t>其他资源勘探业支出</t>
  </si>
  <si>
    <t xml:space="preserve">    制造业</t>
  </si>
  <si>
    <t>制造业</t>
  </si>
  <si>
    <t>2150201</t>
  </si>
  <si>
    <t>2150202</t>
  </si>
  <si>
    <t>2150203</t>
  </si>
  <si>
    <t>2150204</t>
  </si>
  <si>
    <t xml:space="preserve">      纺织业</t>
  </si>
  <si>
    <t>纺织业</t>
  </si>
  <si>
    <t>2150205</t>
  </si>
  <si>
    <t xml:space="preserve">      医药制造业</t>
  </si>
  <si>
    <t>医药制造业</t>
  </si>
  <si>
    <t>2150206</t>
  </si>
  <si>
    <t xml:space="preserve">      非金属矿物制品业</t>
  </si>
  <si>
    <t>非金属矿物制品业</t>
  </si>
  <si>
    <t>2150207</t>
  </si>
  <si>
    <t xml:space="preserve">      通信设备、计算机及其他电子设备制造业</t>
  </si>
  <si>
    <t>通信设备、计算机及其他电子设备制造业</t>
  </si>
  <si>
    <t>2150208</t>
  </si>
  <si>
    <t xml:space="preserve">      交通运输设备制造业</t>
  </si>
  <si>
    <t>交通运输设备制造业</t>
  </si>
  <si>
    <t>2150209</t>
  </si>
  <si>
    <t xml:space="preserve">      电气机械及器材制造业</t>
  </si>
  <si>
    <t>电气机械及器材制造业</t>
  </si>
  <si>
    <t>2150210</t>
  </si>
  <si>
    <t xml:space="preserve">      工艺品及其他制造业</t>
  </si>
  <si>
    <t>工艺品及其他制造业</t>
  </si>
  <si>
    <t>2150212</t>
  </si>
  <si>
    <t xml:space="preserve">      石油加工、炼焦及核燃料加工业</t>
  </si>
  <si>
    <t>石油加工、炼焦及核燃料加工业</t>
  </si>
  <si>
    <t>2150213</t>
  </si>
  <si>
    <t xml:space="preserve">      化学原料及化学制品制造业</t>
  </si>
  <si>
    <t>化学原料及化学制品制造业</t>
  </si>
  <si>
    <t>2150214</t>
  </si>
  <si>
    <t xml:space="preserve">      黑色金属冶炼及压延加工业</t>
  </si>
  <si>
    <t>黑色金属冶炼及压延加工业</t>
  </si>
  <si>
    <t>2150215</t>
  </si>
  <si>
    <t xml:space="preserve">      有色金属冶炼及压延加工业</t>
  </si>
  <si>
    <t>有色金属冶炼及压延加工业</t>
  </si>
  <si>
    <t>2150299</t>
  </si>
  <si>
    <t xml:space="preserve">      其他制造业支出</t>
  </si>
  <si>
    <t>其他制造业支出</t>
  </si>
  <si>
    <t xml:space="preserve">    建筑业</t>
  </si>
  <si>
    <t>建筑业</t>
  </si>
  <si>
    <t>2150301</t>
  </si>
  <si>
    <t>2150302</t>
  </si>
  <si>
    <t>2150303</t>
  </si>
  <si>
    <t>2150399</t>
  </si>
  <si>
    <t xml:space="preserve">      其他建筑业支出</t>
  </si>
  <si>
    <t>其他建筑业支出</t>
  </si>
  <si>
    <t xml:space="preserve">    工业和信息产业监管</t>
  </si>
  <si>
    <t>工业和信息产业监管</t>
  </si>
  <si>
    <t>2150501</t>
  </si>
  <si>
    <t>2150502</t>
  </si>
  <si>
    <t>2150503</t>
  </si>
  <si>
    <t>2150505</t>
  </si>
  <si>
    <t xml:space="preserve">      战备应急</t>
  </si>
  <si>
    <t>战备应急</t>
  </si>
  <si>
    <t>2150507</t>
  </si>
  <si>
    <t xml:space="preserve">      专用通信</t>
  </si>
  <si>
    <t>专用通信</t>
  </si>
  <si>
    <t>2150508</t>
  </si>
  <si>
    <t xml:space="preserve">      无线电及信息通信监管</t>
  </si>
  <si>
    <t>无线电及信息通信监管</t>
  </si>
  <si>
    <t>2150516</t>
  </si>
  <si>
    <t xml:space="preserve">      工程建设及运行维护</t>
  </si>
  <si>
    <t>工程建设及运行维护</t>
  </si>
  <si>
    <t>2150517</t>
  </si>
  <si>
    <t xml:space="preserve">      产业发展</t>
  </si>
  <si>
    <t>产业发展</t>
  </si>
  <si>
    <t>2150550</t>
  </si>
  <si>
    <t>2150599</t>
  </si>
  <si>
    <t xml:space="preserve">      其他工业和信息产业监管支出</t>
  </si>
  <si>
    <t>其他工业和信息产业监管支出</t>
  </si>
  <si>
    <t xml:space="preserve">    国有资产监管</t>
  </si>
  <si>
    <t>国有资产监管</t>
  </si>
  <si>
    <t>2150701</t>
  </si>
  <si>
    <t>2150702</t>
  </si>
  <si>
    <t>2150703</t>
  </si>
  <si>
    <t>2150704</t>
  </si>
  <si>
    <t xml:space="preserve">      国有企业监事会专项</t>
  </si>
  <si>
    <t>国有企业监事会专项</t>
  </si>
  <si>
    <t>2150705</t>
  </si>
  <si>
    <t xml:space="preserve">      中央企业专项管理</t>
  </si>
  <si>
    <t>中央企业专项管理</t>
  </si>
  <si>
    <t>2150799</t>
  </si>
  <si>
    <t xml:space="preserve">      其他国有资产监管支出</t>
  </si>
  <si>
    <t>其他国有资产监管支出</t>
  </si>
  <si>
    <t xml:space="preserve">    支持中小企业发展和管理支出</t>
  </si>
  <si>
    <t>支持中小企业发展和管理支出</t>
  </si>
  <si>
    <t>2150801</t>
  </si>
  <si>
    <t>2150802</t>
  </si>
  <si>
    <t>2150803</t>
  </si>
  <si>
    <t>2150804</t>
  </si>
  <si>
    <t xml:space="preserve">      科技型中小企业技术创新基金</t>
  </si>
  <si>
    <t>科技型中小企业技术创新基金</t>
  </si>
  <si>
    <t>2150805</t>
  </si>
  <si>
    <t xml:space="preserve">      中小企业发展专项</t>
  </si>
  <si>
    <t>中小企业发展专项</t>
  </si>
  <si>
    <t>2150806</t>
  </si>
  <si>
    <t xml:space="preserve">      减免房租补贴</t>
  </si>
  <si>
    <t>减免房租补贴</t>
  </si>
  <si>
    <t>2150899</t>
  </si>
  <si>
    <t xml:space="preserve">      其他支持中小企业发展和管理支出</t>
  </si>
  <si>
    <t>其他支持中小企业发展和管理支出</t>
  </si>
  <si>
    <t xml:space="preserve">    其他资源勘探信息等支出</t>
  </si>
  <si>
    <t>其他资源勘探信息等支出</t>
  </si>
  <si>
    <t>2159901</t>
  </si>
  <si>
    <t xml:space="preserve">      黄金事务</t>
  </si>
  <si>
    <t>黄金事务</t>
  </si>
  <si>
    <t>2159904</t>
  </si>
  <si>
    <t xml:space="preserve">      技术改造支出</t>
  </si>
  <si>
    <t>技术改造支出</t>
  </si>
  <si>
    <t>2159905</t>
  </si>
  <si>
    <t xml:space="preserve">      中药材扶持资金支出</t>
  </si>
  <si>
    <t>中药材扶持资金支出</t>
  </si>
  <si>
    <t>2159906</t>
  </si>
  <si>
    <t xml:space="preserve">      重点产业振兴和技术改造项目贷款贴息</t>
  </si>
  <si>
    <t>重点产业振兴和技术改造项目贷款贴息</t>
  </si>
  <si>
    <t>2159999</t>
  </si>
  <si>
    <t>商业服务业等支出</t>
  </si>
  <si>
    <t xml:space="preserve">    商业流通事务</t>
  </si>
  <si>
    <t>商业流通事务</t>
  </si>
  <si>
    <t>2160201</t>
  </si>
  <si>
    <t>2160202</t>
  </si>
  <si>
    <t>2160203</t>
  </si>
  <si>
    <t>2160216</t>
  </si>
  <si>
    <t xml:space="preserve">      食品流通安全补贴</t>
  </si>
  <si>
    <t>食品流通安全补贴</t>
  </si>
  <si>
    <t>2160217</t>
  </si>
  <si>
    <t xml:space="preserve">      市场监测及信息管理</t>
  </si>
  <si>
    <t>市场监测及信息管理</t>
  </si>
  <si>
    <t>2160218</t>
  </si>
  <si>
    <t xml:space="preserve">      民贸企业补贴</t>
  </si>
  <si>
    <t>民贸企业补贴</t>
  </si>
  <si>
    <t>2160219</t>
  </si>
  <si>
    <t xml:space="preserve">      民贸民品贷款贴息</t>
  </si>
  <si>
    <t>民贸民品贷款贴息</t>
  </si>
  <si>
    <t>2160250</t>
  </si>
  <si>
    <t>2160299</t>
  </si>
  <si>
    <t xml:space="preserve">      其他商业流通事务支出</t>
  </si>
  <si>
    <t>其他商业流通事务支出</t>
  </si>
  <si>
    <t xml:space="preserve">    涉外发展服务支出</t>
  </si>
  <si>
    <t>涉外发展服务支出</t>
  </si>
  <si>
    <t>2160601</t>
  </si>
  <si>
    <t>2160602</t>
  </si>
  <si>
    <t>2160603</t>
  </si>
  <si>
    <t>2160607</t>
  </si>
  <si>
    <t xml:space="preserve">      外商投资环境建设补助资金</t>
  </si>
  <si>
    <t>外商投资环境建设补助资金</t>
  </si>
  <si>
    <t>2160699</t>
  </si>
  <si>
    <t xml:space="preserve">      其他涉外发展服务支出</t>
  </si>
  <si>
    <t>其他涉外发展服务支出</t>
  </si>
  <si>
    <t xml:space="preserve">    其他商业服务业等支出</t>
  </si>
  <si>
    <t>其他商业服务业等支出</t>
  </si>
  <si>
    <t>2169901</t>
  </si>
  <si>
    <t xml:space="preserve">      服务业基础设施建设</t>
  </si>
  <si>
    <t>服务业基础设施建设</t>
  </si>
  <si>
    <t>2169999</t>
  </si>
  <si>
    <t>金融支出</t>
  </si>
  <si>
    <t xml:space="preserve">    金融部门行政支出</t>
  </si>
  <si>
    <t>金融部门行政支出</t>
  </si>
  <si>
    <t>2170101</t>
  </si>
  <si>
    <t>2170102</t>
  </si>
  <si>
    <t>2170103</t>
  </si>
  <si>
    <t>2170104</t>
  </si>
  <si>
    <t xml:space="preserve">      安全防卫</t>
  </si>
  <si>
    <t>安全防卫</t>
  </si>
  <si>
    <t>2170150</t>
  </si>
  <si>
    <t>2170199</t>
  </si>
  <si>
    <t xml:space="preserve">      金融部门其他行政支出</t>
  </si>
  <si>
    <t>金融部门其他行政支出</t>
  </si>
  <si>
    <t>21702</t>
  </si>
  <si>
    <t xml:space="preserve">    金融部门监管支出</t>
  </si>
  <si>
    <t>金融部门监管支出</t>
  </si>
  <si>
    <t>2170201</t>
  </si>
  <si>
    <t xml:space="preserve">      货币发行</t>
  </si>
  <si>
    <t>货币发行</t>
  </si>
  <si>
    <t>2170202</t>
  </si>
  <si>
    <t xml:space="preserve">      金融服务</t>
  </si>
  <si>
    <t>金融服务</t>
  </si>
  <si>
    <t>2170203</t>
  </si>
  <si>
    <t xml:space="preserve">      反假币</t>
  </si>
  <si>
    <t>反假币</t>
  </si>
  <si>
    <t>2170204</t>
  </si>
  <si>
    <t xml:space="preserve">      重点金融机构监管</t>
  </si>
  <si>
    <t>重点金融机构监管</t>
  </si>
  <si>
    <t>2170205</t>
  </si>
  <si>
    <t xml:space="preserve">      金融稽查与案件处理</t>
  </si>
  <si>
    <t>金融稽查与案件处理</t>
  </si>
  <si>
    <t>2170206</t>
  </si>
  <si>
    <t xml:space="preserve">      金融行业电子化建设</t>
  </si>
  <si>
    <t>金融行业电子化建设</t>
  </si>
  <si>
    <t>2170207</t>
  </si>
  <si>
    <t xml:space="preserve">      从业人员资格考试</t>
  </si>
  <si>
    <t>从业人员资格考试</t>
  </si>
  <si>
    <t>2170208</t>
  </si>
  <si>
    <t xml:space="preserve">      反洗钱</t>
  </si>
  <si>
    <t>反洗钱</t>
  </si>
  <si>
    <t>2170299</t>
  </si>
  <si>
    <t xml:space="preserve">      金融部门其他监管支出</t>
  </si>
  <si>
    <t>金融部门其他监管支出</t>
  </si>
  <si>
    <t xml:space="preserve">    金融发展支出</t>
  </si>
  <si>
    <t>金融发展支出</t>
  </si>
  <si>
    <t>2170301</t>
  </si>
  <si>
    <t xml:space="preserve">      政策性银行亏损补贴</t>
  </si>
  <si>
    <t>政策性银行亏损补贴</t>
  </si>
  <si>
    <t>2170302</t>
  </si>
  <si>
    <t xml:space="preserve">      利息费用补贴支出</t>
  </si>
  <si>
    <t>利息费用补贴支出</t>
  </si>
  <si>
    <t>2170303</t>
  </si>
  <si>
    <t xml:space="preserve">      补充资本金</t>
  </si>
  <si>
    <t>补充资本金</t>
  </si>
  <si>
    <t>2170304</t>
  </si>
  <si>
    <t xml:space="preserve">      风险基金补助</t>
  </si>
  <si>
    <t>风险基金补助</t>
  </si>
  <si>
    <t>2170399</t>
  </si>
  <si>
    <t xml:space="preserve">      其他金融发展支出</t>
  </si>
  <si>
    <t>其他金融发展支出</t>
  </si>
  <si>
    <t>21704</t>
  </si>
  <si>
    <t>金融调控支出</t>
  </si>
  <si>
    <t>2170401</t>
  </si>
  <si>
    <t xml:space="preserve">      中央银行亏损补贴</t>
  </si>
  <si>
    <t>中央银行亏损补贴</t>
  </si>
  <si>
    <t>2170499</t>
  </si>
  <si>
    <t xml:space="preserve">      其他金融调控支出</t>
  </si>
  <si>
    <t>其他金融调控支出</t>
  </si>
  <si>
    <t xml:space="preserve">    其他金融支出</t>
  </si>
  <si>
    <t>其他金融支出</t>
  </si>
  <si>
    <t>2179902</t>
  </si>
  <si>
    <t xml:space="preserve">      重点企业贷款贴息</t>
  </si>
  <si>
    <t>重点企业贷款贴息</t>
  </si>
  <si>
    <t>2179999</t>
  </si>
  <si>
    <t>援助其他地区支出</t>
  </si>
  <si>
    <t xml:space="preserve">    一般公共服务</t>
  </si>
  <si>
    <t>一般公共服务</t>
  </si>
  <si>
    <t xml:space="preserve">    教育</t>
  </si>
  <si>
    <t>教育</t>
  </si>
  <si>
    <t xml:space="preserve">    文化体育与传媒</t>
  </si>
  <si>
    <t>文化体育与传媒</t>
  </si>
  <si>
    <t xml:space="preserve">    医疗卫生</t>
  </si>
  <si>
    <t>医疗卫生</t>
  </si>
  <si>
    <t xml:space="preserve">    节能环保</t>
  </si>
  <si>
    <t>节能环保</t>
  </si>
  <si>
    <t xml:space="preserve">    交通运输</t>
  </si>
  <si>
    <t>交通运输</t>
  </si>
  <si>
    <t xml:space="preserve">    住房保障</t>
  </si>
  <si>
    <t>住房保障</t>
  </si>
  <si>
    <t xml:space="preserve">    其他支出</t>
  </si>
  <si>
    <t>自然资源海洋气象等支出</t>
  </si>
  <si>
    <t xml:space="preserve">    自然资源事务</t>
  </si>
  <si>
    <t>自然资源事务</t>
  </si>
  <si>
    <t>2200101</t>
  </si>
  <si>
    <t>2200102</t>
  </si>
  <si>
    <t>2200103</t>
  </si>
  <si>
    <t>2200104</t>
  </si>
  <si>
    <t xml:space="preserve">      自然资源规划及管理</t>
  </si>
  <si>
    <t>自然资源规划及管理</t>
  </si>
  <si>
    <t>2200106</t>
  </si>
  <si>
    <t xml:space="preserve">      自然资源利用与保护</t>
  </si>
  <si>
    <t>土地资源利用与保护</t>
  </si>
  <si>
    <t>2200107</t>
  </si>
  <si>
    <t xml:space="preserve">      自然资源社会公益服务</t>
  </si>
  <si>
    <t>自然资源社会公益服务</t>
  </si>
  <si>
    <t>2200108</t>
  </si>
  <si>
    <t xml:space="preserve">      自然资源行业业务管理</t>
  </si>
  <si>
    <t>自然资源行业业务管理</t>
  </si>
  <si>
    <t>2200109</t>
  </si>
  <si>
    <t xml:space="preserve">      自然资源调查与确权登记</t>
  </si>
  <si>
    <t>自然资源调查</t>
  </si>
  <si>
    <t>2200112</t>
  </si>
  <si>
    <t xml:space="preserve">      土地资源储备支出</t>
  </si>
  <si>
    <t>土地资源储备支出</t>
  </si>
  <si>
    <t>2200113</t>
  </si>
  <si>
    <t xml:space="preserve">      地质矿产资源与环境调查</t>
  </si>
  <si>
    <t>地质矿产资源与环境调查</t>
  </si>
  <si>
    <t>2200114</t>
  </si>
  <si>
    <t xml:space="preserve">      地质勘查与矿产资源管理</t>
  </si>
  <si>
    <t>地质矿产资源利用与保护</t>
  </si>
  <si>
    <t>2200115</t>
  </si>
  <si>
    <t xml:space="preserve">      地质转产项目财政贴息</t>
  </si>
  <si>
    <t>地质转产项目财政贴息</t>
  </si>
  <si>
    <t>2200116</t>
  </si>
  <si>
    <t xml:space="preserve">      国外风险勘查</t>
  </si>
  <si>
    <t>国外风险勘查</t>
  </si>
  <si>
    <t>2200119</t>
  </si>
  <si>
    <t xml:space="preserve">      地质勘查基金（周转金）支出</t>
  </si>
  <si>
    <t>地质勘查基金（周转金）支出</t>
  </si>
  <si>
    <t>2200120</t>
  </si>
  <si>
    <t xml:space="preserve">      海域与海岛管理</t>
  </si>
  <si>
    <t>海域与海岛管理</t>
  </si>
  <si>
    <t>2200121</t>
  </si>
  <si>
    <t xml:space="preserve">      自然资源国际合作与海洋权益维护</t>
  </si>
  <si>
    <t>自然资源国际合作与海洋权益维护</t>
  </si>
  <si>
    <t>2200122</t>
  </si>
  <si>
    <t xml:space="preserve">      自然资源卫星</t>
  </si>
  <si>
    <t>自然资源卫星</t>
  </si>
  <si>
    <t>2200123</t>
  </si>
  <si>
    <t xml:space="preserve">      极地考察</t>
  </si>
  <si>
    <t>极地考察</t>
  </si>
  <si>
    <t>2200124</t>
  </si>
  <si>
    <t xml:space="preserve">      深海调查与资源开发</t>
  </si>
  <si>
    <t>深海调查与资源开发</t>
  </si>
  <si>
    <t>2200125</t>
  </si>
  <si>
    <t xml:space="preserve">      海航航标维护</t>
  </si>
  <si>
    <t>海航航标维护</t>
  </si>
  <si>
    <t>2200126</t>
  </si>
  <si>
    <t xml:space="preserve">      海水淡化</t>
  </si>
  <si>
    <t>海水淡化</t>
  </si>
  <si>
    <t>2200127</t>
  </si>
  <si>
    <t xml:space="preserve">      无居民海岛使用金支出</t>
  </si>
  <si>
    <t>无居民海岛使用金支出</t>
  </si>
  <si>
    <t>2200128</t>
  </si>
  <si>
    <t xml:space="preserve">      海洋战略规划与预警监测</t>
  </si>
  <si>
    <t>海洋战略规划与预警监测</t>
  </si>
  <si>
    <t>2200129</t>
  </si>
  <si>
    <t xml:space="preserve">      基础测绘与地理信息监管</t>
  </si>
  <si>
    <t>基础测绘与地理信息监管</t>
  </si>
  <si>
    <t>2200150</t>
  </si>
  <si>
    <t>2200199</t>
  </si>
  <si>
    <t xml:space="preserve">      其他自然资源事务支出</t>
  </si>
  <si>
    <t>其他自然资源事务支出</t>
  </si>
  <si>
    <t xml:space="preserve">    气象事务</t>
  </si>
  <si>
    <t>气象事务</t>
  </si>
  <si>
    <t>2200501</t>
  </si>
  <si>
    <t>2200502</t>
  </si>
  <si>
    <t>2200503</t>
  </si>
  <si>
    <t>2200504</t>
  </si>
  <si>
    <t xml:space="preserve">      气象事业机构</t>
  </si>
  <si>
    <t>气象事业机构</t>
  </si>
  <si>
    <t>2200506</t>
  </si>
  <si>
    <t xml:space="preserve">      气象探测</t>
  </si>
  <si>
    <t>气象探测</t>
  </si>
  <si>
    <t>2200507</t>
  </si>
  <si>
    <t xml:space="preserve">      气象信息传输及管理</t>
  </si>
  <si>
    <t>气象信息传输及管理</t>
  </si>
  <si>
    <t>2200508</t>
  </si>
  <si>
    <t xml:space="preserve">      气象预报预测</t>
  </si>
  <si>
    <t>气象预报预测</t>
  </si>
  <si>
    <t>2200509</t>
  </si>
  <si>
    <t xml:space="preserve">      气象服务</t>
  </si>
  <si>
    <t>气象服务</t>
  </si>
  <si>
    <t>2200510</t>
  </si>
  <si>
    <t xml:space="preserve">      气象装备保障维护</t>
  </si>
  <si>
    <t>气象装备保障维护</t>
  </si>
  <si>
    <t>2200511</t>
  </si>
  <si>
    <t xml:space="preserve">      气象基础设施建设与维修</t>
  </si>
  <si>
    <t>气象基础设施建设与维修</t>
  </si>
  <si>
    <t>2200512</t>
  </si>
  <si>
    <t xml:space="preserve">      气象卫星</t>
  </si>
  <si>
    <t>气象卫星</t>
  </si>
  <si>
    <t>2200513</t>
  </si>
  <si>
    <t xml:space="preserve">      气象法规与标准</t>
  </si>
  <si>
    <t>气象法规与标准</t>
  </si>
  <si>
    <t>2200514</t>
  </si>
  <si>
    <t xml:space="preserve">      气象资金审计稽查</t>
  </si>
  <si>
    <t>气象资金审计稽查</t>
  </si>
  <si>
    <t>2200599</t>
  </si>
  <si>
    <t xml:space="preserve">      其他气象事务支出</t>
  </si>
  <si>
    <t>其他气象事务支出</t>
  </si>
  <si>
    <t xml:space="preserve">    其他自然资源海洋气象等支出</t>
  </si>
  <si>
    <t>其他自然资源海洋气象等支出</t>
  </si>
  <si>
    <t>2209999</t>
  </si>
  <si>
    <t>住房保障支出</t>
  </si>
  <si>
    <t xml:space="preserve">    保障性安居工程支出</t>
  </si>
  <si>
    <t>保障性安居工程支出</t>
  </si>
  <si>
    <t>2210102</t>
  </si>
  <si>
    <t xml:space="preserve">      沉陷区治理</t>
  </si>
  <si>
    <t>沉陷区治理</t>
  </si>
  <si>
    <t>2210103</t>
  </si>
  <si>
    <t xml:space="preserve">      棚户区改造</t>
  </si>
  <si>
    <t>棚户区改造</t>
  </si>
  <si>
    <t>2210104</t>
  </si>
  <si>
    <t xml:space="preserve">      少数民族地区游牧民定居工程</t>
  </si>
  <si>
    <t>少数民族地区游牧民定居工程</t>
  </si>
  <si>
    <t>2210105</t>
  </si>
  <si>
    <t xml:space="preserve">      农村危房改造</t>
  </si>
  <si>
    <t>农村危房改造</t>
  </si>
  <si>
    <t>2210108</t>
  </si>
  <si>
    <t xml:space="preserve">      老旧小区改造</t>
  </si>
  <si>
    <t>老旧小区改造</t>
  </si>
  <si>
    <t>2210111</t>
  </si>
  <si>
    <t xml:space="preserve">      配租型住房保障</t>
  </si>
  <si>
    <t>配租型住房保障</t>
  </si>
  <si>
    <t>2210112</t>
  </si>
  <si>
    <t xml:space="preserve">      配售性保障性住房</t>
  </si>
  <si>
    <t>配售性保障性住房</t>
  </si>
  <si>
    <t>2210113</t>
  </si>
  <si>
    <t xml:space="preserve">      城中村改造</t>
  </si>
  <si>
    <t>城中村改造</t>
  </si>
  <si>
    <t>2210199</t>
  </si>
  <si>
    <t xml:space="preserve">      其他保障性安居工程支出</t>
  </si>
  <si>
    <t>其他保障性安居工程支出</t>
  </si>
  <si>
    <t xml:space="preserve">    住房改革支出</t>
  </si>
  <si>
    <t>住房改革支出</t>
  </si>
  <si>
    <t>2210201</t>
  </si>
  <si>
    <t xml:space="preserve">      住房公积金</t>
  </si>
  <si>
    <t>住房公积金</t>
  </si>
  <si>
    <t>2210202</t>
  </si>
  <si>
    <t xml:space="preserve">      提租补贴</t>
  </si>
  <si>
    <t>提租补贴</t>
  </si>
  <si>
    <t>2210203</t>
  </si>
  <si>
    <t xml:space="preserve">      购房补贴</t>
  </si>
  <si>
    <t>购房补贴</t>
  </si>
  <si>
    <t xml:space="preserve">    城乡社区住宅</t>
  </si>
  <si>
    <t>城乡社区住宅</t>
  </si>
  <si>
    <t>2210301</t>
  </si>
  <si>
    <t xml:space="preserve">      公有住房建设和维修改造支出</t>
  </si>
  <si>
    <t>公有住房建设和维修改造支出</t>
  </si>
  <si>
    <t>2210302</t>
  </si>
  <si>
    <t xml:space="preserve">      住房公积金管理</t>
  </si>
  <si>
    <t>住房公积金管理</t>
  </si>
  <si>
    <t>2210399</t>
  </si>
  <si>
    <t xml:space="preserve">      其他城乡社区住宅支出</t>
  </si>
  <si>
    <t>其他城乡社区住宅支出</t>
  </si>
  <si>
    <t>粮油物资储备支出</t>
  </si>
  <si>
    <t xml:space="preserve">    粮油物资事务</t>
  </si>
  <si>
    <t>粮油事务</t>
  </si>
  <si>
    <t>2220101</t>
  </si>
  <si>
    <t>2220102</t>
  </si>
  <si>
    <t>2220103</t>
  </si>
  <si>
    <t>2220104</t>
  </si>
  <si>
    <t xml:space="preserve">      财务与审计支出</t>
  </si>
  <si>
    <t>粮食财务与审计支出</t>
  </si>
  <si>
    <t>2220105</t>
  </si>
  <si>
    <t xml:space="preserve">      信息统计</t>
  </si>
  <si>
    <t>粮食信息统计</t>
  </si>
  <si>
    <t>2220106</t>
  </si>
  <si>
    <t xml:space="preserve">      专项业务活动</t>
  </si>
  <si>
    <t>粮食专项业务活动</t>
  </si>
  <si>
    <t>2220107</t>
  </si>
  <si>
    <t xml:space="preserve">      国家粮油差价补贴</t>
  </si>
  <si>
    <t>国家粮油差价补贴</t>
  </si>
  <si>
    <t>2220112</t>
  </si>
  <si>
    <t xml:space="preserve">      粮食财务挂账利息补贴</t>
  </si>
  <si>
    <t>粮食财务挂账利息补贴</t>
  </si>
  <si>
    <t>2220113</t>
  </si>
  <si>
    <t xml:space="preserve">      粮食财务挂账消化款</t>
  </si>
  <si>
    <t>粮食财务挂账消化款</t>
  </si>
  <si>
    <t>2220114</t>
  </si>
  <si>
    <t xml:space="preserve">      处理陈化粮补贴</t>
  </si>
  <si>
    <t>处理陈化粮补贴</t>
  </si>
  <si>
    <t>2220115</t>
  </si>
  <si>
    <t xml:space="preserve">      粮食风险基金</t>
  </si>
  <si>
    <t>粮食风险基金</t>
  </si>
  <si>
    <t>2220118</t>
  </si>
  <si>
    <t xml:space="preserve">      粮油市场调控专项资金</t>
  </si>
  <si>
    <t>粮油市场调控专项资金</t>
  </si>
  <si>
    <t>2220119</t>
  </si>
  <si>
    <t xml:space="preserve">      设施建设</t>
  </si>
  <si>
    <t>设施建设</t>
  </si>
  <si>
    <t>2220120</t>
  </si>
  <si>
    <t xml:space="preserve">      设施安全</t>
  </si>
  <si>
    <t>设施安全</t>
  </si>
  <si>
    <t>2220121</t>
  </si>
  <si>
    <t xml:space="preserve">      物资保管保养</t>
  </si>
  <si>
    <t>物资保管保养</t>
  </si>
  <si>
    <t>2220150</t>
  </si>
  <si>
    <t>2220199</t>
  </si>
  <si>
    <t xml:space="preserve">      其他粮油事务支出</t>
  </si>
  <si>
    <t>其他粮油事务支出</t>
  </si>
  <si>
    <t xml:space="preserve">    能源储备</t>
  </si>
  <si>
    <t>能源储备</t>
  </si>
  <si>
    <t>2220301</t>
  </si>
  <si>
    <t xml:space="preserve">      石油储备</t>
  </si>
  <si>
    <t>石油储备</t>
  </si>
  <si>
    <t>2220303</t>
  </si>
  <si>
    <t xml:space="preserve">      天然铀能源储备</t>
  </si>
  <si>
    <t>天然铀能源储备</t>
  </si>
  <si>
    <t>2220304</t>
  </si>
  <si>
    <t xml:space="preserve">      煤炭储备</t>
  </si>
  <si>
    <t>煤炭储备</t>
  </si>
  <si>
    <t>2220305</t>
  </si>
  <si>
    <t xml:space="preserve">      成品油储备</t>
  </si>
  <si>
    <t>成品油储备</t>
  </si>
  <si>
    <t>2220306</t>
  </si>
  <si>
    <t xml:space="preserve">      天然气储备</t>
  </si>
  <si>
    <t>天然气储备</t>
  </si>
  <si>
    <t>2220399</t>
  </si>
  <si>
    <t xml:space="preserve">      其他能源储备支出</t>
  </si>
  <si>
    <t>其他能源储备支出</t>
  </si>
  <si>
    <t xml:space="preserve">    粮油储备</t>
  </si>
  <si>
    <t>粮油储备</t>
  </si>
  <si>
    <t>2220401</t>
  </si>
  <si>
    <t xml:space="preserve">      储备粮油补贴</t>
  </si>
  <si>
    <t>储备粮油补贴</t>
  </si>
  <si>
    <t>2220402</t>
  </si>
  <si>
    <t xml:space="preserve">      储备粮油差价补贴</t>
  </si>
  <si>
    <t>储备粮油差价补贴</t>
  </si>
  <si>
    <t>2220403</t>
  </si>
  <si>
    <t xml:space="preserve">      储备粮（油）库建设</t>
  </si>
  <si>
    <t>储备粮（油）库建设</t>
  </si>
  <si>
    <t>2220404</t>
  </si>
  <si>
    <t xml:space="preserve">      最低收购价政策支出</t>
  </si>
  <si>
    <t>最低收购价政策支出</t>
  </si>
  <si>
    <t>2220499</t>
  </si>
  <si>
    <t xml:space="preserve">      其他粮油储备支出</t>
  </si>
  <si>
    <t>其他粮油储备支出</t>
  </si>
  <si>
    <t xml:space="preserve">    重要商品储备</t>
  </si>
  <si>
    <t>重要商品储备</t>
  </si>
  <si>
    <t>2220501</t>
  </si>
  <si>
    <t xml:space="preserve">      棉花储备</t>
  </si>
  <si>
    <t>棉花储备</t>
  </si>
  <si>
    <t>2220502</t>
  </si>
  <si>
    <t xml:space="preserve">      食糖储备</t>
  </si>
  <si>
    <t>食糖储备</t>
  </si>
  <si>
    <t>2220503</t>
  </si>
  <si>
    <t xml:space="preserve">      肉类储备</t>
  </si>
  <si>
    <t>肉类储备</t>
  </si>
  <si>
    <t>2220504</t>
  </si>
  <si>
    <t xml:space="preserve">      化肥储备</t>
  </si>
  <si>
    <t>化肥储备</t>
  </si>
  <si>
    <t>2220505</t>
  </si>
  <si>
    <t xml:space="preserve">      农药储备</t>
  </si>
  <si>
    <t>农药储备</t>
  </si>
  <si>
    <t>2220506</t>
  </si>
  <si>
    <t xml:space="preserve">      边销茶储备</t>
  </si>
  <si>
    <t>边销茶储备</t>
  </si>
  <si>
    <t>2220507</t>
  </si>
  <si>
    <t xml:space="preserve">      羊毛储备</t>
  </si>
  <si>
    <t>羊毛储备</t>
  </si>
  <si>
    <t>2220508</t>
  </si>
  <si>
    <t xml:space="preserve">      医药储备</t>
  </si>
  <si>
    <t>医药储备</t>
  </si>
  <si>
    <t>2220509</t>
  </si>
  <si>
    <t xml:space="preserve">      食盐储备</t>
  </si>
  <si>
    <t>食盐储备</t>
  </si>
  <si>
    <t>2220510</t>
  </si>
  <si>
    <t xml:space="preserve">      战略物资储备</t>
  </si>
  <si>
    <t>战略物资储备</t>
  </si>
  <si>
    <t xml:space="preserve">      应急物资储备</t>
  </si>
  <si>
    <t>2220511</t>
  </si>
  <si>
    <t>应急物资储备</t>
  </si>
  <si>
    <t>2220599</t>
  </si>
  <si>
    <t xml:space="preserve">      其他重要商品储备支出</t>
  </si>
  <si>
    <t>其他重要商品储备支出</t>
  </si>
  <si>
    <t>灾害防治及应急管理支出</t>
  </si>
  <si>
    <t xml:space="preserve">    应急管理事务</t>
  </si>
  <si>
    <t>应急管理事务</t>
  </si>
  <si>
    <t>2240101</t>
  </si>
  <si>
    <t>2240102</t>
  </si>
  <si>
    <t>2240103</t>
  </si>
  <si>
    <t>2240104</t>
  </si>
  <si>
    <t xml:space="preserve">      灾害风险防治</t>
  </si>
  <si>
    <t>灾害风险防治</t>
  </si>
  <si>
    <t>2240105</t>
  </si>
  <si>
    <t xml:space="preserve">      国务院安委会专项</t>
  </si>
  <si>
    <t>国务院安委会专项</t>
  </si>
  <si>
    <t>2240106</t>
  </si>
  <si>
    <t xml:space="preserve">      安全监管</t>
  </si>
  <si>
    <t>安全监管</t>
  </si>
  <si>
    <t>2240108</t>
  </si>
  <si>
    <t xml:space="preserve">      应急救援</t>
  </si>
  <si>
    <t>应急救援</t>
  </si>
  <si>
    <t>2240109</t>
  </si>
  <si>
    <t xml:space="preserve">      应急管理</t>
  </si>
  <si>
    <t>应急管理</t>
  </si>
  <si>
    <t>2240150</t>
  </si>
  <si>
    <t>2240199</t>
  </si>
  <si>
    <t xml:space="preserve">      其他应急管理支出</t>
  </si>
  <si>
    <t>其他应急管理支出</t>
  </si>
  <si>
    <t xml:space="preserve">    消防事务</t>
  </si>
  <si>
    <t>消防事务</t>
  </si>
  <si>
    <t>2240201</t>
  </si>
  <si>
    <t>2240202</t>
  </si>
  <si>
    <t>2240203</t>
  </si>
  <si>
    <t>2240204</t>
  </si>
  <si>
    <t xml:space="preserve">      消防应急救援</t>
  </si>
  <si>
    <t>消防应急救援</t>
  </si>
  <si>
    <t>2240250</t>
  </si>
  <si>
    <t>2240299</t>
  </si>
  <si>
    <t xml:space="preserve">      其他消防事务支出</t>
  </si>
  <si>
    <t>其他消防事务支出</t>
  </si>
  <si>
    <t xml:space="preserve">    矿山安全</t>
  </si>
  <si>
    <t>矿山安全</t>
  </si>
  <si>
    <t>2240401</t>
  </si>
  <si>
    <t>2240402</t>
  </si>
  <si>
    <t>2240403</t>
  </si>
  <si>
    <t>2240404</t>
  </si>
  <si>
    <t xml:space="preserve">      矿山安全监察事务</t>
  </si>
  <si>
    <t>矿山安全监察事务</t>
  </si>
  <si>
    <t>2240405</t>
  </si>
  <si>
    <t xml:space="preserve">      矿山应急救援事务</t>
  </si>
  <si>
    <t>矿山应急救援事务</t>
  </si>
  <si>
    <t>2240450</t>
  </si>
  <si>
    <t>2240499</t>
  </si>
  <si>
    <t xml:space="preserve">      其他矿山安全支出</t>
  </si>
  <si>
    <t>其他矿山安全支出</t>
  </si>
  <si>
    <t xml:space="preserve">    地震事务</t>
  </si>
  <si>
    <t>地震事务</t>
  </si>
  <si>
    <t>2240501</t>
  </si>
  <si>
    <t>2240502</t>
  </si>
  <si>
    <t>2240503</t>
  </si>
  <si>
    <t>2240504</t>
  </si>
  <si>
    <t xml:space="preserve">      地震监测</t>
  </si>
  <si>
    <t>地震监测</t>
  </si>
  <si>
    <t>2240505</t>
  </si>
  <si>
    <t xml:space="preserve">      地震预测预报</t>
  </si>
  <si>
    <t>地震预测预报</t>
  </si>
  <si>
    <t>2240506</t>
  </si>
  <si>
    <t xml:space="preserve">      地震灾害预防</t>
  </si>
  <si>
    <t>地震灾害预防</t>
  </si>
  <si>
    <t>2240507</t>
  </si>
  <si>
    <t xml:space="preserve">      地震应急救援</t>
  </si>
  <si>
    <t>地震应急救援</t>
  </si>
  <si>
    <t>2240508</t>
  </si>
  <si>
    <t xml:space="preserve">      地震环境探察</t>
  </si>
  <si>
    <t>地震环境探察</t>
  </si>
  <si>
    <t>2240509</t>
  </si>
  <si>
    <t xml:space="preserve">      防震减灾信息管理</t>
  </si>
  <si>
    <t>防震减灾信息管理</t>
  </si>
  <si>
    <t>2240510</t>
  </si>
  <si>
    <t xml:space="preserve">      防震减灾基础管理</t>
  </si>
  <si>
    <t>防震减灾基础管理</t>
  </si>
  <si>
    <t>2240550</t>
  </si>
  <si>
    <t xml:space="preserve">      地震事业机构</t>
  </si>
  <si>
    <t>地震事业机构</t>
  </si>
  <si>
    <t>2240599</t>
  </si>
  <si>
    <t xml:space="preserve">      其他地震事务支出</t>
  </si>
  <si>
    <t>其他地震事务支出</t>
  </si>
  <si>
    <t xml:space="preserve">    自然灾害防治</t>
  </si>
  <si>
    <t>自然灾害防治</t>
  </si>
  <si>
    <t>2240601</t>
  </si>
  <si>
    <t xml:space="preserve">      地质灾害防治</t>
  </si>
  <si>
    <t>地质灾害防治</t>
  </si>
  <si>
    <t>2240602</t>
  </si>
  <si>
    <t xml:space="preserve">      森林草原防灾减灾</t>
  </si>
  <si>
    <t>森林草原防灾减灾</t>
  </si>
  <si>
    <t>2240699</t>
  </si>
  <si>
    <t xml:space="preserve">      其他自然灾害防治支出</t>
  </si>
  <si>
    <t>其他自然灾害防治支出</t>
  </si>
  <si>
    <t xml:space="preserve">    自然灾害救灾及恢复重建支出</t>
  </si>
  <si>
    <t>自然灾害救灾及恢复重建支出</t>
  </si>
  <si>
    <t>2240703</t>
  </si>
  <si>
    <t xml:space="preserve">      自然灾害救灾补助</t>
  </si>
  <si>
    <t>自然灾害救灾补助</t>
  </si>
  <si>
    <t>2240704</t>
  </si>
  <si>
    <t xml:space="preserve">      自然灾害灾后重建补助</t>
  </si>
  <si>
    <t>自然灾害灾后重建补助</t>
  </si>
  <si>
    <t>2240799</t>
  </si>
  <si>
    <t xml:space="preserve">      其他自然灾害救灾及恢复重建支出</t>
  </si>
  <si>
    <t>其他自然灾害救灾及恢复重建支出</t>
  </si>
  <si>
    <t xml:space="preserve">    其他灾害防治及应急管理支出</t>
  </si>
  <si>
    <t>其他灾害防治及应急管理支出</t>
  </si>
  <si>
    <t>2249999</t>
  </si>
  <si>
    <t>预备费</t>
  </si>
  <si>
    <t xml:space="preserve">    年初预留</t>
  </si>
  <si>
    <t>年初预留</t>
  </si>
  <si>
    <t>2290201</t>
  </si>
  <si>
    <t xml:space="preserve">      年初预留</t>
  </si>
  <si>
    <t>2299999</t>
  </si>
  <si>
    <t>二十四、债务还本支出</t>
  </si>
  <si>
    <t>债务付息支出</t>
  </si>
  <si>
    <t xml:space="preserve">    地方政府一般债务还本支出</t>
  </si>
  <si>
    <t>地方政府一般债务付息支出</t>
  </si>
  <si>
    <t>2310301</t>
  </si>
  <si>
    <t xml:space="preserve">      地方政府一般债券还本支出</t>
  </si>
  <si>
    <t>2320301</t>
  </si>
  <si>
    <t>地方政府一般债券付息支出</t>
  </si>
  <si>
    <t>2310302</t>
  </si>
  <si>
    <t xml:space="preserve">      地方政府向外国政府借款还本支出</t>
  </si>
  <si>
    <t>2320302</t>
  </si>
  <si>
    <t>地方政府向外国政府借款付息支出</t>
  </si>
  <si>
    <t>2310303</t>
  </si>
  <si>
    <t xml:space="preserve">      地方政府向国际组织借款还本支出</t>
  </si>
  <si>
    <t>2320303</t>
  </si>
  <si>
    <t>地方政府向国际组织借款付息支出</t>
  </si>
  <si>
    <t>2310399</t>
  </si>
  <si>
    <t xml:space="preserve">      地方政府其他一般债务还本支出</t>
  </si>
  <si>
    <t>2320399</t>
  </si>
  <si>
    <t>地方政府其他一般债务付息支出</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</si>
  <si>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</si>
  <si>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</si>
  <si>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</si>
  <si>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</si>
  <si>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</si>
  <si>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</si>
  <si>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</si>
  <si>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债务发行费用支出</t>
  </si>
  <si>
    <t xml:space="preserve">    地方政府一般债务发行费用支出</t>
  </si>
  <si>
    <t>地方政府一般债务发行费用支出</t>
  </si>
  <si>
    <t>2330301</t>
  </si>
  <si>
    <t>表十二、三江县2025年一般公共预算本级支出表</t>
  </si>
  <si>
    <t>表十四、三江县2025年一般公共预算支出经济分类预算表</t>
  </si>
  <si>
    <t>基本支出</t>
  </si>
  <si>
    <t>项目支出</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</si>
  <si>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</si>
  <si>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</si>
  <si>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</si>
  <si>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</si>
  <si>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</si>
  <si>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</si>
  <si>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</si>
  <si>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</si>
  <si>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</si>
  <si>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</si>
  <si>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</si>
  <si>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</si>
  <si>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</si>
  <si>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</si>
  <si>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</si>
  <si>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</si>
  <si>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</si>
  <si>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</si>
  <si>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</si>
  <si>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</si>
  <si>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</si>
  <si>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</si>
  <si>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50208</t>
  </si>
  <si>
    <t>50209</t>
  </si>
  <si>
    <t>维修（护）费</t>
  </si>
  <si>
    <t>50299</t>
  </si>
  <si>
    <t>其他商品和服务支出</t>
  </si>
  <si>
    <t>503</t>
  </si>
  <si>
    <t>机关资本性支出</t>
  </si>
  <si>
    <t>50301</t>
  </si>
  <si>
    <t>房屋建筑物购建</t>
  </si>
  <si>
    <t>50302</t>
  </si>
  <si>
    <t>基础设施建设</t>
  </si>
  <si>
    <t>50306</t>
  </si>
  <si>
    <t>设备购置</t>
  </si>
  <si>
    <t>50307</t>
  </si>
  <si>
    <t>大型修缮</t>
  </si>
  <si>
    <t>50399</t>
  </si>
  <si>
    <t>其他资本性支出</t>
  </si>
  <si>
    <t>机关资本性支出（基本建设）</t>
  </si>
  <si>
    <t>50401</t>
  </si>
  <si>
    <t>50402</t>
  </si>
  <si>
    <t>50404</t>
  </si>
  <si>
    <t>50499</t>
  </si>
  <si>
    <t>505</t>
  </si>
  <si>
    <t>对事业单位经常性补助</t>
  </si>
  <si>
    <t>50501</t>
  </si>
  <si>
    <t>工资福利支出</t>
  </si>
  <si>
    <t>50502</t>
  </si>
  <si>
    <t>商品和服务支出</t>
  </si>
  <si>
    <t>其他对事业单位补助</t>
  </si>
  <si>
    <t>506</t>
  </si>
  <si>
    <t>对事业单位资本性补助</t>
  </si>
  <si>
    <t>50601</t>
  </si>
  <si>
    <t>资本性支出</t>
  </si>
  <si>
    <t>50602</t>
  </si>
  <si>
    <t>资本性支出（基本建设）</t>
  </si>
  <si>
    <t>507</t>
  </si>
  <si>
    <t>对企业补助</t>
  </si>
  <si>
    <t>50701</t>
  </si>
  <si>
    <t>费用补贴</t>
  </si>
  <si>
    <t>50702</t>
  </si>
  <si>
    <t>利息补贴</t>
  </si>
  <si>
    <t>50799</t>
  </si>
  <si>
    <t>其他对企业补助</t>
  </si>
  <si>
    <t>509</t>
  </si>
  <si>
    <t>对个人和家庭的补助</t>
  </si>
  <si>
    <t>50901</t>
  </si>
  <si>
    <t>社会福利和救助</t>
  </si>
  <si>
    <t>50902</t>
  </si>
  <si>
    <t>助学金</t>
  </si>
  <si>
    <t>50903</t>
  </si>
  <si>
    <t>个人农业生产补贴</t>
  </si>
  <si>
    <t>50905</t>
  </si>
  <si>
    <t>离退休费</t>
  </si>
  <si>
    <t>50999</t>
  </si>
  <si>
    <t>其他对个人和家庭补助</t>
  </si>
  <si>
    <t>510</t>
  </si>
  <si>
    <t>对社会保障基金补助</t>
  </si>
  <si>
    <t>51002</t>
  </si>
  <si>
    <t>对社会保险基金补助</t>
  </si>
  <si>
    <t>511</t>
  </si>
  <si>
    <t>债务利息及费用支出</t>
  </si>
  <si>
    <t>51101</t>
  </si>
  <si>
    <t>国内债务付息</t>
  </si>
  <si>
    <t>512</t>
  </si>
  <si>
    <t>还本支出</t>
  </si>
  <si>
    <t>513</t>
  </si>
  <si>
    <t>514</t>
  </si>
  <si>
    <t>预留</t>
  </si>
  <si>
    <t>三江县2025年一般公共预算本级基本支出</t>
  </si>
  <si>
    <t>表十六、2025年一般公共财政预算收支平衡表</t>
  </si>
  <si>
    <r>
      <rPr>
        <b/>
        <sz val="14"/>
        <rFont val="宋体"/>
        <charset val="134"/>
      </rPr>
      <t>收</t>
    </r>
    <r>
      <rPr>
        <b/>
        <sz val="14"/>
        <rFont val="宋体"/>
        <charset val="134"/>
      </rPr>
      <t>入</t>
    </r>
  </si>
  <si>
    <r>
      <rPr>
        <b/>
        <sz val="14"/>
        <rFont val="宋体"/>
        <charset val="134"/>
      </rPr>
      <t>支</t>
    </r>
    <r>
      <rPr>
        <b/>
        <sz val="14"/>
        <rFont val="宋体"/>
        <charset val="134"/>
      </rPr>
      <t>出</t>
    </r>
  </si>
  <si>
    <r>
      <rPr>
        <b/>
        <sz val="9"/>
        <rFont val="宋体"/>
        <charset val="134"/>
      </rPr>
      <t>比上年预算数+</t>
    </r>
    <r>
      <rPr>
        <b/>
        <sz val="9"/>
        <rFont val="宋体"/>
        <charset val="134"/>
      </rPr>
      <t>-%</t>
    </r>
  </si>
  <si>
    <t xml:space="preserve">    法院、检察院、生态局基数上解支出</t>
  </si>
  <si>
    <t xml:space="preserve">      其他返还性收入</t>
  </si>
  <si>
    <t>表十七、2025年一般公共财政预算收支平衡表</t>
  </si>
  <si>
    <t>表十八、2025年一般公共财政预算收支平衡表</t>
  </si>
  <si>
    <t>表十四、三江县2025年一般公共预算支出资金来源情况表</t>
  </si>
  <si>
    <t>财力安排</t>
  </si>
  <si>
    <t>专项转移支付收入安排</t>
  </si>
  <si>
    <t>动用上年结余安排</t>
  </si>
  <si>
    <t>其他资金
(财力性专项）</t>
  </si>
  <si>
    <t>上年结余（未列预算）</t>
  </si>
  <si>
    <t>一、一般公共服务支出</t>
  </si>
  <si>
    <t xml:space="preserve">    政府办公厅(室)及相关机构事务</t>
  </si>
  <si>
    <t>社会工作事务</t>
  </si>
  <si>
    <t xml:space="preserve">    数据事务</t>
  </si>
  <si>
    <t xml:space="preserve">    外交管理事务</t>
  </si>
  <si>
    <t xml:space="preserve">    驻外机构</t>
  </si>
  <si>
    <t xml:space="preserve">    对外援助</t>
  </si>
  <si>
    <t xml:space="preserve">    国际组织</t>
  </si>
  <si>
    <t>国际组织</t>
  </si>
  <si>
    <t xml:space="preserve">    对外宣传</t>
  </si>
  <si>
    <t xml:space="preserve">    边界勘界联检</t>
  </si>
  <si>
    <t xml:space="preserve">    国际发展合作</t>
  </si>
  <si>
    <t>军费</t>
  </si>
  <si>
    <t xml:space="preserve">    国防科研事业</t>
  </si>
  <si>
    <t xml:space="preserve">    专项工程</t>
  </si>
  <si>
    <t>行政事业单位养老支出</t>
  </si>
  <si>
    <t>托育服务</t>
  </si>
  <si>
    <t>森林保护修复</t>
  </si>
  <si>
    <t>清洁能源</t>
  </si>
  <si>
    <t>农业</t>
  </si>
  <si>
    <t>巩固脱贫攻坚成果衔接乡村振兴</t>
  </si>
  <si>
    <t xml:space="preserve">      金融部门监管支出</t>
  </si>
  <si>
    <t xml:space="preserve">      金融调控支出</t>
  </si>
  <si>
    <t>自然资源海洋气象扥国资处</t>
  </si>
  <si>
    <t xml:space="preserve">      消防救援事务</t>
  </si>
  <si>
    <t>消防救援事务</t>
  </si>
  <si>
    <t xml:space="preserve">      矿山安全</t>
  </si>
  <si>
    <t>二十五、债务付息支出</t>
  </si>
  <si>
    <t>二十六、债务发行费用支出</t>
  </si>
  <si>
    <t>表十八、2025年政府一般债务限额和余额情况表</t>
  </si>
  <si>
    <t>单位:万元</t>
  </si>
  <si>
    <t>一般债务</t>
  </si>
  <si>
    <t>一般债券</t>
  </si>
  <si>
    <t>向外国政府借款</t>
  </si>
  <si>
    <t>向国际组织借款</t>
  </si>
  <si>
    <t>其他一般债务</t>
  </si>
  <si>
    <t>上年末地方政府债务余额</t>
  </si>
  <si>
    <t>本年地方政府债务余额限额(预算数)</t>
  </si>
  <si>
    <t>本年地方政府债务(转贷)收入(预算数)</t>
  </si>
  <si>
    <t>本年地方政府债务还本支出(预算数)</t>
  </si>
  <si>
    <t>本年采用其他方式化解的债务本金(预算数)</t>
  </si>
  <si>
    <t>年末地方政府债务余额</t>
  </si>
  <si>
    <t>表二十一、三江县2025年政府性基金预算收入表</t>
  </si>
  <si>
    <t>2024年决算（执行)数</t>
  </si>
  <si>
    <t>2025年
预算数</t>
  </si>
  <si>
    <t>一、政府性基金收入</t>
  </si>
  <si>
    <t xml:space="preserve">  彩票发售机构和彩票销售机构的业务费用</t>
  </si>
  <si>
    <t xml:space="preserve">  耕地保护考核奖惩基金收入</t>
  </si>
  <si>
    <t xml:space="preserve">  超长期特别国债财务基金收入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</si>
  <si>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</si>
  <si>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</si>
  <si>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</si>
  <si>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</si>
  <si>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</si>
  <si>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</si>
  <si>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</si>
  <si>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</si>
  <si>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</si>
  <si>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</si>
  <si>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</si>
  <si>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表二十二、三江县2025年政府性基金预算支出表</t>
  </si>
  <si>
    <t>一、教育支出</t>
  </si>
  <si>
    <t xml:space="preserve">  超长期特别国债安排的支出</t>
  </si>
  <si>
    <t>二、科学技术支出</t>
  </si>
  <si>
    <t xml:space="preserve">  核电站乏燃料处理处置基金支出</t>
  </si>
  <si>
    <t>三、文化旅游体育与传媒支出</t>
  </si>
  <si>
    <t xml:space="preserve">  国家电影事业发展专项资金安排的支出</t>
  </si>
  <si>
    <t xml:space="preserve">  旅游发展基金支出</t>
  </si>
  <si>
    <t xml:space="preserve">  国家电影事业发展专项资金对应专项债务收入安排的支出</t>
  </si>
  <si>
    <t>四、卫生健康支出</t>
  </si>
  <si>
    <t>五、节能环保支出</t>
  </si>
  <si>
    <t xml:space="preserve">  可再生能源电价附加收入安排的支出</t>
  </si>
  <si>
    <t xml:space="preserve">  废弃电器电子产品处理基金支出</t>
  </si>
  <si>
    <t>六、城乡社区支出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</si>
  <si>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</si>
  <si>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</si>
  <si>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</si>
  <si>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</si>
  <si>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</si>
  <si>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</si>
  <si>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</si>
  <si>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</si>
  <si>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</si>
  <si>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</si>
  <si>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七、农林水支出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</si>
  <si>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</si>
  <si>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</si>
  <si>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</si>
  <si>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</si>
  <si>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</si>
  <si>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 xml:space="preserve">  大中型水库移民后期扶持基金支出</t>
  </si>
  <si>
    <t xml:space="preserve">  小型水库移民扶助基金安排的支出</t>
  </si>
  <si>
    <t xml:space="preserve">  小型水库移民扶助基金对应专项债务安排的支出</t>
  </si>
  <si>
    <t>八、交通运输支出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</si>
  <si>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</si>
  <si>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</si>
  <si>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</si>
  <si>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</si>
  <si>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</si>
  <si>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</si>
  <si>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</si>
  <si>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</si>
  <si>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九、资源勘探工业信息等支出</t>
  </si>
  <si>
    <t xml:space="preserve">  农网还贷资金支出</t>
  </si>
  <si>
    <t>十、金融支出</t>
  </si>
  <si>
    <t xml:space="preserve">  金融调控支出</t>
  </si>
  <si>
    <t>十一、自然资源海洋气象等支出</t>
  </si>
  <si>
    <t xml:space="preserve">  耕地保护考核奖惩基金支出</t>
  </si>
  <si>
    <t>十二、住房保障支出</t>
  </si>
  <si>
    <t>十三、粮油物资储备支出</t>
  </si>
  <si>
    <t>十四、灾害防治及应急管理支出</t>
  </si>
  <si>
    <t>十五、其他支出</t>
  </si>
  <si>
    <t xml:space="preserve">  其他政府性基金及对应专项债务收入安排的支出</t>
  </si>
  <si>
    <t xml:space="preserve">  彩票发行销售机构业务费安排的支出</t>
  </si>
  <si>
    <t xml:space="preserve">  抗疫特别国债财务基金支出</t>
  </si>
  <si>
    <t xml:space="preserve">  超长期特别国债财务基金支出</t>
  </si>
  <si>
    <t xml:space="preserve">  彩票公益金安排的支出</t>
  </si>
  <si>
    <t xml:space="preserve">  超长期特别国债安排的其他支出</t>
  </si>
  <si>
    <t>十七、债务付息支出</t>
  </si>
  <si>
    <t xml:space="preserve">  地方政府专项债务付息支出</t>
  </si>
  <si>
    <t>十八、债务发行费用支出</t>
  </si>
  <si>
    <t xml:space="preserve">  地方政府专项债务发行费用支出</t>
  </si>
  <si>
    <t>十九、抗疫特别国债安排的支出</t>
  </si>
  <si>
    <t xml:space="preserve">  基础设施建设</t>
  </si>
  <si>
    <t xml:space="preserve">  抗疫相关支出</t>
  </si>
  <si>
    <t xml:space="preserve">  政府性基金转移支付</t>
  </si>
  <si>
    <t xml:space="preserve">  上解支出</t>
  </si>
  <si>
    <t xml:space="preserve">  债务转贷支出</t>
  </si>
  <si>
    <t xml:space="preserve">  偿债备付金</t>
  </si>
  <si>
    <t xml:space="preserve">  超长期特别国债还本支出</t>
  </si>
  <si>
    <t>表二十三、三江县2025年政府性基金预算收支表</t>
  </si>
  <si>
    <t>债务收入</t>
  </si>
  <si>
    <t xml:space="preserve">  中央政府债务收入</t>
  </si>
  <si>
    <t xml:space="preserve">  地方政府债务收入</t>
  </si>
  <si>
    <t xml:space="preserve">  政府性基金转移支付收入</t>
  </si>
  <si>
    <t xml:space="preserve">  上解收入</t>
  </si>
  <si>
    <t xml:space="preserve">  调入资金</t>
  </si>
  <si>
    <t xml:space="preserve">  债务转贷收入</t>
  </si>
  <si>
    <t xml:space="preserve">  动用偿债备付金</t>
  </si>
  <si>
    <t>表二十四、三江县2025年本级政府性基金预算支出表</t>
  </si>
  <si>
    <t>表二十五、三江县2025年政府性基金预算收支明细表</t>
  </si>
  <si>
    <t>表二十六、三江县2025年政府性基金预算转移支付表</t>
  </si>
  <si>
    <t>表二七、三江县2025年政府性基金预算支出资金来源情况表</t>
  </si>
  <si>
    <t>十六、债务还本支出</t>
  </si>
  <si>
    <t>二十、调出资金</t>
  </si>
  <si>
    <t>专项债务</t>
  </si>
  <si>
    <t>专项债券</t>
  </si>
  <si>
    <t>其他专项债务</t>
  </si>
  <si>
    <r>
      <rPr>
        <sz val="10"/>
        <rFont val="宋体"/>
        <charset val="134"/>
      </rPr>
      <t>本年地方政府债务(转贷)收入</t>
    </r>
    <r>
      <rPr>
        <sz val="10"/>
        <rFont val="宋体"/>
        <charset val="134"/>
      </rPr>
      <t>(</t>
    </r>
    <r>
      <rPr>
        <sz val="10"/>
        <rFont val="宋体"/>
        <charset val="134"/>
      </rPr>
      <t>预算数</t>
    </r>
    <r>
      <rPr>
        <sz val="10"/>
        <rFont val="宋体"/>
        <charset val="134"/>
      </rPr>
      <t>)</t>
    </r>
  </si>
  <si>
    <r>
      <rPr>
        <sz val="10"/>
        <rFont val="宋体"/>
        <charset val="134"/>
      </rPr>
      <t>本年地方政府债务还本支出</t>
    </r>
    <r>
      <rPr>
        <sz val="10"/>
        <rFont val="宋体"/>
        <charset val="134"/>
      </rPr>
      <t>(</t>
    </r>
    <r>
      <rPr>
        <sz val="10"/>
        <rFont val="宋体"/>
        <charset val="134"/>
      </rPr>
      <t>预算数</t>
    </r>
    <r>
      <rPr>
        <sz val="10"/>
        <rFont val="宋体"/>
        <charset val="134"/>
      </rPr>
      <t>)</t>
    </r>
  </si>
  <si>
    <t>本年采用其他方式化解的债务本金</t>
  </si>
  <si>
    <r>
      <rPr>
        <sz val="18"/>
        <rFont val="方正小标宋简体"/>
        <charset val="134"/>
      </rPr>
      <t>表二十九、三江县</t>
    </r>
    <r>
      <rPr>
        <b/>
        <sz val="18"/>
        <rFont val="宋体"/>
        <charset val="134"/>
      </rPr>
      <t>2025</t>
    </r>
    <r>
      <rPr>
        <sz val="18"/>
        <rFont val="方正小标宋简体"/>
        <charset val="134"/>
      </rPr>
      <t xml:space="preserve">年社会保险基金预算情况    </t>
    </r>
  </si>
  <si>
    <r>
      <rPr>
        <sz val="18"/>
        <rFont val="方正小标宋简体"/>
        <charset val="134"/>
      </rPr>
      <t>表三十、三江县</t>
    </r>
    <r>
      <rPr>
        <b/>
        <sz val="18"/>
        <rFont val="方正小标宋简体"/>
        <charset val="134"/>
      </rPr>
      <t>2025年社会保险金预算收入表</t>
    </r>
  </si>
  <si>
    <r>
      <rPr>
        <sz val="18"/>
        <rFont val="方正小标宋简体"/>
        <charset val="134"/>
      </rPr>
      <t>表三十一、三江县</t>
    </r>
    <r>
      <rPr>
        <b/>
        <sz val="18"/>
        <rFont val="方正小标宋简体"/>
        <charset val="134"/>
      </rPr>
      <t>2025年社会保险金预算支出表</t>
    </r>
  </si>
  <si>
    <t>2、机关事业基本养老基金收入</t>
  </si>
  <si>
    <t xml:space="preserve">         其他养老基金收入</t>
  </si>
  <si>
    <t>3、城乡居民社会养老保险基金收入</t>
  </si>
  <si>
    <t>表三十二、三江县2025年国有资本经营预算收支总表</t>
  </si>
  <si>
    <r>
      <rPr>
        <sz val="10"/>
        <rFont val="宋体"/>
        <charset val="134"/>
      </rPr>
      <t>收</t>
    </r>
    <r>
      <rPr>
        <sz val="10"/>
        <rFont val="Times New Roman"/>
        <charset val="0"/>
      </rPr>
      <t xml:space="preserve">          </t>
    </r>
    <r>
      <rPr>
        <sz val="10"/>
        <rFont val="宋体"/>
        <charset val="134"/>
      </rPr>
      <t>入</t>
    </r>
  </si>
  <si>
    <r>
      <rPr>
        <sz val="10"/>
        <rFont val="宋体"/>
        <charset val="134"/>
      </rPr>
      <t>支</t>
    </r>
    <r>
      <rPr>
        <sz val="10"/>
        <rFont val="Times New Roman"/>
        <charset val="0"/>
      </rPr>
      <t xml:space="preserve">          </t>
    </r>
    <r>
      <rPr>
        <sz val="10"/>
        <rFont val="宋体"/>
        <charset val="134"/>
      </rPr>
      <t>出</t>
    </r>
  </si>
  <si>
    <r>
      <rPr>
        <sz val="10"/>
        <rFont val="宋体"/>
        <charset val="134"/>
      </rPr>
      <t>项</t>
    </r>
    <r>
      <rPr>
        <sz val="10"/>
        <rFont val="Times New Roman"/>
        <charset val="0"/>
      </rPr>
      <t xml:space="preserve">        </t>
    </r>
    <r>
      <rPr>
        <sz val="10"/>
        <rFont val="宋体"/>
        <charset val="134"/>
      </rPr>
      <t>目</t>
    </r>
  </si>
  <si>
    <t>栏次</t>
  </si>
  <si>
    <t>表三十三、三江县2025年国有资本经营预算收支总表</t>
  </si>
  <si>
    <r>
      <rPr>
        <sz val="10"/>
        <rFont val="宋体"/>
        <charset val="134"/>
      </rPr>
      <t>支</t>
    </r>
    <r>
      <rPr>
        <sz val="10"/>
        <rFont val="Times New Roman"/>
        <charset val="0"/>
      </rPr>
      <t xml:space="preserve">          </t>
    </r>
    <r>
      <rPr>
        <sz val="10"/>
        <rFont val="宋体"/>
        <charset val="134"/>
      </rPr>
      <t>出</t>
    </r>
  </si>
  <si>
    <r>
      <rPr>
        <sz val="10"/>
        <rFont val="宋体"/>
        <charset val="134"/>
      </rPr>
      <t>项</t>
    </r>
    <r>
      <rPr>
        <sz val="10"/>
        <rFont val="Times New Roman"/>
        <charset val="0"/>
      </rPr>
      <t xml:space="preserve">        </t>
    </r>
    <r>
      <rPr>
        <sz val="10"/>
        <rFont val="宋体"/>
        <charset val="134"/>
      </rPr>
      <t>目</t>
    </r>
  </si>
  <si>
    <t>2023年执行数</t>
  </si>
  <si>
    <t>表三十四、三江县2025年国有资本经营预算支出表</t>
  </si>
  <si>
    <r>
      <rPr>
        <sz val="10"/>
        <rFont val="宋体"/>
        <charset val="134"/>
      </rPr>
      <t>收</t>
    </r>
    <r>
      <rPr>
        <sz val="10"/>
        <rFont val="Times New Roman"/>
        <charset val="0"/>
      </rPr>
      <t xml:space="preserve">          </t>
    </r>
    <r>
      <rPr>
        <sz val="10"/>
        <rFont val="宋体"/>
        <charset val="134"/>
      </rPr>
      <t>入</t>
    </r>
  </si>
  <si>
    <t>表三十五、三江县2025年本级国有资本经营预算支出表</t>
  </si>
  <si>
    <t>表三十六、三江县2025年“三公”经费预算情况表</t>
  </si>
  <si>
    <r>
      <rPr>
        <sz val="10"/>
        <rFont val="宋体"/>
        <charset val="134"/>
      </rPr>
      <t>与上年预算数同比+</t>
    </r>
    <r>
      <rPr>
        <sz val="10"/>
        <rFont val="宋体"/>
        <charset val="134"/>
      </rPr>
      <t>-%</t>
    </r>
  </si>
  <si>
    <t>根据桂财预〔2023〕137号、三财政〔2023〕339号文件要求：“后续化债期间“三公两费”预算总额安排原则上不得超过2024年预算安排总规模，今后年度压减预算开支将持续视情作出规定。”，由于我县三公两费已持续压减多年，已无压减空间，在上级部门未做出明确压减规定前，使用财政资金安排的“三公两费”支出预算与上年保持一致。</t>
  </si>
  <si>
    <t>机关事务局10部、四所合15部一共25部</t>
  </si>
  <si>
    <t>无出国计划</t>
  </si>
  <si>
    <t>入户</t>
  </si>
  <si>
    <t>公安局5车辆</t>
  </si>
  <si>
    <t>2024年公务车购置费用为纪委部门业务用车购置费用；2025年无车辆购置采购计划</t>
  </si>
  <si>
    <t>物价局1辆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</si>
</sst>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 "/>
    <numFmt numFmtId="179" formatCode="0.0_ "/>
    <numFmt numFmtId="180" formatCode="0.00_ "/>
    <numFmt numFmtId="181" formatCode="0.00_);[Red]\(0.00\)"/>
    <numFmt numFmtId="182" formatCode="_ * #,##0_ ;_ * \-#,##0_ ;_ * &quot;-&quot;??_ ;_ @_ "/>
  </numFmts>
  <fonts count="65">
    <font>
      <sz val="12"/>
      <name val="宋体"/>
      <charset val="134"/>
    </font>
    <font>
      <sz val="10"/>
      <name val="Arial"/>
      <charset val="0"/>
    </font>
    <font>
      <sz val="9"/>
      <name val="宋体"/>
      <charset val="134"/>
    </font>
    <font>
      <sz val="20"/>
      <name val="方正小标宋简体"/>
      <charset val="134"/>
    </font>
    <font>
      <sz val="10"/>
      <name val="宋体"/>
      <charset val="134"/>
    </font>
    <font>
      <sz val="9"/>
      <color rgb="FFFF0000"/>
      <name val="宋体"/>
      <charset val="134"/>
    </font>
    <font>
      <sz val="16"/>
      <name val="黑体"/>
      <charset val="134"/>
    </font>
    <font>
      <sz val="11"/>
      <name val="宋体"/>
      <charset val="134"/>
    </font>
    <font>
      <b/>
      <sz val="10"/>
      <name val="宋体"/>
      <charset val="134"/>
    </font>
    <font>
      <sz val="16"/>
      <name val="黑体"/>
      <charset val="134"/>
    </font>
    <font>
      <sz val="10"/>
      <name val="Arial"/>
      <charset val="0"/>
    </font>
    <font>
      <sz val="18"/>
      <name val="方正小标宋简体"/>
      <charset val="134"/>
    </font>
    <font>
      <b/>
      <sz val="12"/>
      <name val="宋体"/>
      <charset val="134"/>
    </font>
    <font>
      <b/>
      <sz val="11"/>
      <name val="宋体"/>
      <charset val="134"/>
    </font>
    <font>
      <b/>
      <sz val="10"/>
      <name val="Arial"/>
      <charset val="0"/>
    </font>
    <font>
      <b/>
      <sz val="18"/>
      <name val="宋体"/>
      <charset val="134"/>
    </font>
    <font>
      <b/>
      <sz val="16"/>
      <name val="黑体"/>
      <charset val="134"/>
    </font>
    <font>
      <sz val="12"/>
      <name val="黑体"/>
      <charset val="134"/>
    </font>
    <font>
      <b/>
      <sz val="14"/>
      <name val="宋体"/>
      <charset val="134"/>
    </font>
    <font>
      <sz val="10"/>
      <color indexed="10"/>
      <name val="宋体"/>
      <charset val="134"/>
    </font>
    <font>
      <sz val="9"/>
      <name val="Arial"/>
      <charset val="0"/>
    </font>
    <font>
      <b/>
      <sz val="9"/>
      <name val="宋体"/>
      <charset val="134"/>
    </font>
    <font>
      <sz val="9"/>
      <color indexed="8"/>
      <name val="宋体"/>
      <charset val="134"/>
    </font>
    <font>
      <b/>
      <sz val="16"/>
      <name val="宋体"/>
      <charset val="134"/>
    </font>
    <font>
      <b/>
      <sz val="9"/>
      <name val="SimSun"/>
      <charset val="134"/>
    </font>
    <font>
      <b/>
      <sz val="10"/>
      <name val="SimSun"/>
      <charset val="134"/>
    </font>
    <font>
      <sz val="10"/>
      <name val="SimSun"/>
      <charset val="134"/>
    </font>
    <font>
      <sz val="10"/>
      <color rgb="FFFF0000"/>
      <name val="宋体"/>
      <charset val="134"/>
    </font>
    <font>
      <sz val="8"/>
      <name val="宋体"/>
      <charset val="134"/>
    </font>
    <font>
      <sz val="10"/>
      <color indexed="8"/>
      <name val="宋体"/>
      <charset val="134"/>
    </font>
    <font>
      <b/>
      <sz val="10"/>
      <color rgb="FFFF0000"/>
      <name val="宋体"/>
      <charset val="134"/>
    </font>
    <font>
      <sz val="8"/>
      <color rgb="FFFF0000"/>
      <name val="宋体"/>
      <charset val="134"/>
    </font>
    <font>
      <sz val="11"/>
      <color indexed="10"/>
      <name val="宋体"/>
      <charset val="134"/>
    </font>
    <font>
      <b/>
      <sz val="20"/>
      <name val="方正小标宋简体"/>
      <charset val="134"/>
    </font>
    <font>
      <b/>
      <sz val="12"/>
      <name val="黑体"/>
      <charset val="134"/>
    </font>
    <font>
      <b/>
      <sz val="9"/>
      <color indexed="8"/>
      <name val="宋体"/>
      <charset val="134"/>
    </font>
    <font>
      <b/>
      <sz val="10"/>
      <color indexed="8"/>
      <name val="宋体"/>
      <charset val="134"/>
    </font>
    <font>
      <b/>
      <sz val="9"/>
      <name val="Arial"/>
      <charset val="0"/>
    </font>
    <font>
      <sz val="11"/>
      <color indexed="8"/>
      <name val="宋体"/>
      <charset val="134"/>
    </font>
    <font>
      <b/>
      <sz val="18"/>
      <color indexed="8"/>
      <name val="宋体"/>
      <charset val="134"/>
    </font>
    <font>
      <sz val="11"/>
      <color indexed="8"/>
      <name val="黑体"/>
      <charset val="134"/>
    </font>
    <font>
      <u/>
      <sz val="12"/>
      <color indexed="12"/>
      <name val="宋体"/>
      <charset val="134"/>
    </font>
    <font>
      <u/>
      <sz val="12"/>
      <color indexed="36"/>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0"/>
      <name val="Times New Roman"/>
      <charset val="0"/>
    </font>
    <font>
      <sz val="10"/>
      <name val="Times New Roman"/>
      <charset val="0"/>
    </font>
    <font>
      <sz val="10"/>
      <name val="Times New Roman"/>
      <charset val="0"/>
    </font>
    <font>
      <b/>
      <sz val="18"/>
      <name val="方正小标宋简体"/>
      <charset val="134"/>
    </font>
    <font>
      <b/>
      <sz val="20"/>
      <name val="宋体"/>
      <charset val="134"/>
    </font>
    <font>
      <b/>
      <sz val="9"/>
      <name val="宋体"/>
      <charset val="134"/>
    </font>
    <font>
      <sz val="9"/>
      <name val="宋体"/>
      <charset val="134"/>
    </font>
  </fonts>
  <fills count="31">
    <fill>
      <patternFill patternType="none"/>
    </fill>
    <fill>
      <patternFill patternType="gray125"/>
    </fill>
    <fill>
      <patternFill patternType="solid">
        <fgColor theme="8" tint="0.799981688894314"/>
        <bgColor indexed="64"/>
      </patternFill>
    </fill>
    <fill>
      <patternFill patternType="solid">
        <fgColor indexed="9"/>
        <bgColor indexed="64"/>
      </patternFill>
    </fill>
    <fill>
      <patternFill patternType="solid">
        <fgColor theme="8"/>
        <bgColor indexed="64"/>
      </patternFill>
    </fill>
    <fill>
      <patternFill patternType="solid">
        <fgColor theme="6" tint="0.799981688894314"/>
        <bgColor indexed="64"/>
      </patternFill>
    </fill>
    <fill>
      <patternFill patternType="solid">
        <fgColor rgb="FFFFFF00"/>
        <bgColor indexed="64"/>
      </patternFill>
    </fill>
    <fill>
      <patternFill patternType="mediumGray">
        <fgColor indexed="9"/>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0"/>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indexed="0"/>
      </left>
      <right style="thin">
        <color indexed="8"/>
      </right>
      <top style="thin">
        <color indexed="0"/>
      </top>
      <bottom style="thin">
        <color auto="1"/>
      </bottom>
      <diagonal/>
    </border>
    <border>
      <left style="thin">
        <color indexed="8"/>
      </left>
      <right style="thin">
        <color indexed="8"/>
      </right>
      <top style="thin">
        <color indexed="8"/>
      </top>
      <bottom style="thin">
        <color auto="1"/>
      </bottom>
      <diagonal/>
    </border>
    <border>
      <left style="thin">
        <color auto="1"/>
      </left>
      <right/>
      <top/>
      <bottom style="thin">
        <color auto="1"/>
      </bottom>
      <diagonal/>
    </border>
    <border>
      <left style="thin">
        <color indexed="0"/>
      </left>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0" fillId="9" borderId="42" applyNumberFormat="0" applyFont="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0" borderId="45" applyNumberFormat="0" applyFill="0" applyAlignment="0" applyProtection="0">
      <alignment vertical="center"/>
    </xf>
    <xf numFmtId="0" fontId="47" fillId="0" borderId="0" applyNumberFormat="0" applyFill="0" applyBorder="0" applyAlignment="0" applyProtection="0">
      <alignment vertical="center"/>
    </xf>
    <xf numFmtId="0" fontId="48" fillId="10" borderId="46" applyNumberFormat="0" applyAlignment="0" applyProtection="0">
      <alignment vertical="center"/>
    </xf>
    <xf numFmtId="0" fontId="49" fillId="11" borderId="47" applyNumberFormat="0" applyAlignment="0" applyProtection="0">
      <alignment vertical="center"/>
    </xf>
    <xf numFmtId="0" fontId="50" fillId="11" borderId="46" applyNumberFormat="0" applyAlignment="0" applyProtection="0">
      <alignment vertical="center"/>
    </xf>
    <xf numFmtId="0" fontId="51" fillId="12" borderId="48" applyNumberFormat="0" applyAlignment="0" applyProtection="0">
      <alignment vertical="center"/>
    </xf>
    <xf numFmtId="0" fontId="52" fillId="0" borderId="49" applyNumberFormat="0" applyFill="0" applyAlignment="0" applyProtection="0">
      <alignment vertical="center"/>
    </xf>
    <xf numFmtId="0" fontId="53" fillId="0" borderId="50" applyNumberFormat="0" applyFill="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38" fillId="14" borderId="0" applyNumberFormat="0" applyBorder="0" applyAlignment="0" applyProtection="0">
      <alignment vertical="center"/>
    </xf>
    <xf numFmtId="0" fontId="38" fillId="21"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38" fillId="13" borderId="0" applyNumberFormat="0" applyBorder="0" applyAlignment="0" applyProtection="0">
      <alignment vertical="center"/>
    </xf>
    <xf numFmtId="0" fontId="38" fillId="23"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38" fillId="27" borderId="0" applyNumberFormat="0" applyBorder="0" applyAlignment="0" applyProtection="0">
      <alignment vertical="center"/>
    </xf>
    <xf numFmtId="0" fontId="38" fillId="18" borderId="0" applyNumberFormat="0" applyBorder="0" applyAlignment="0" applyProtection="0">
      <alignment vertical="center"/>
    </xf>
    <xf numFmtId="0" fontId="57" fillId="26" borderId="0" applyNumberFormat="0" applyBorder="0" applyAlignment="0" applyProtection="0">
      <alignment vertical="center"/>
    </xf>
    <xf numFmtId="0" fontId="57" fillId="28" borderId="0" applyNumberFormat="0" applyBorder="0" applyAlignment="0" applyProtection="0">
      <alignment vertical="center"/>
    </xf>
    <xf numFmtId="0" fontId="38" fillId="10" borderId="0" applyNumberFormat="0" applyBorder="0" applyAlignment="0" applyProtection="0">
      <alignment vertical="center"/>
    </xf>
    <xf numFmtId="0" fontId="38" fillId="29" borderId="0" applyNumberFormat="0" applyBorder="0" applyAlignment="0" applyProtection="0">
      <alignment vertical="center"/>
    </xf>
    <xf numFmtId="0" fontId="57" fillId="3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cellStyleXfs>
  <cellXfs count="582">
    <xf numFmtId="0" fontId="0" fillId="0" borderId="0" xfId="0" applyAlignme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right" vertical="center" wrapText="1"/>
    </xf>
    <xf numFmtId="10" fontId="4" fillId="0" borderId="2" xfId="3" applyNumberFormat="1" applyFont="1" applyFill="1" applyBorder="1" applyAlignment="1">
      <alignment horizontal="righ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9" fontId="4" fillId="0" borderId="2" xfId="3" applyNumberFormat="1" applyFont="1" applyFill="1" applyBorder="1" applyAlignment="1">
      <alignment horizontal="righ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0" borderId="0" xfId="0" applyFont="1" applyFill="1" applyBorder="1" applyAlignment="1"/>
    <xf numFmtId="0" fontId="2" fillId="0" borderId="0" xfId="0" applyFont="1" applyFill="1" applyBorder="1" applyAlignment="1">
      <alignment horizontal="left"/>
    </xf>
    <xf numFmtId="0" fontId="2" fillId="0" borderId="4" xfId="0" applyFont="1" applyFill="1" applyBorder="1" applyAlignment="1">
      <alignment horizontal="left" vertical="center" wrapText="1"/>
    </xf>
    <xf numFmtId="0" fontId="0" fillId="0" borderId="0" xfId="0"/>
    <xf numFmtId="0" fontId="6" fillId="0" borderId="0" xfId="0" applyFont="1" applyAlignment="1">
      <alignment horizontal="center" vertical="center"/>
    </xf>
    <xf numFmtId="0" fontId="7" fillId="0" borderId="0" xfId="0" applyFont="1" applyAlignment="1">
      <alignmen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xf>
    <xf numFmtId="0" fontId="4" fillId="0" borderId="2" xfId="0" applyFont="1" applyFill="1" applyBorder="1" applyAlignment="1">
      <alignment vertical="center"/>
    </xf>
    <xf numFmtId="0" fontId="4" fillId="0" borderId="2" xfId="0" applyFont="1" applyBorder="1" applyAlignment="1">
      <alignment horizontal="left" vertical="center"/>
    </xf>
    <xf numFmtId="0" fontId="4" fillId="0" borderId="2" xfId="0" applyFont="1" applyBorder="1"/>
    <xf numFmtId="0" fontId="8" fillId="0" borderId="2" xfId="0" applyFont="1" applyFill="1" applyBorder="1" applyAlignment="1">
      <alignment horizontal="center" vertical="center"/>
    </xf>
    <xf numFmtId="0" fontId="8" fillId="0" borderId="2" xfId="0" applyFont="1" applyBorder="1" applyAlignment="1">
      <alignment horizontal="center" vertical="center"/>
    </xf>
    <xf numFmtId="0" fontId="0" fillId="0" borderId="2" xfId="0" applyBorder="1"/>
    <xf numFmtId="0" fontId="4" fillId="0" borderId="2" xfId="0" applyFont="1" applyFill="1" applyBorder="1" applyAlignment="1">
      <alignment horizontal="left" vertical="center"/>
    </xf>
    <xf numFmtId="0" fontId="0" fillId="0" borderId="0" xfId="0" applyFill="1" applyBorder="1" applyAlignment="1"/>
    <xf numFmtId="0" fontId="7" fillId="0" borderId="0" xfId="0" applyFont="1" applyAlignment="1">
      <alignment horizontal="right" vertical="center"/>
    </xf>
    <xf numFmtId="0" fontId="4" fillId="0" borderId="2" xfId="0" applyFont="1" applyBorder="1" applyAlignment="1">
      <alignment vertical="center" wrapText="1"/>
    </xf>
    <xf numFmtId="0" fontId="4" fillId="0" borderId="2" xfId="0" applyFont="1" applyFill="1" applyBorder="1" applyAlignment="1"/>
    <xf numFmtId="0" fontId="0" fillId="0" borderId="2" xfId="0" applyFill="1" applyBorder="1" applyAlignment="1"/>
    <xf numFmtId="0" fontId="0" fillId="0" borderId="0" xfId="0" applyFill="1" applyBorder="1" applyAlignment="1">
      <alignment vertical="center"/>
    </xf>
    <xf numFmtId="0" fontId="9"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0" fillId="0" borderId="0" xfId="0" applyFont="1" applyFill="1" applyAlignment="1"/>
    <xf numFmtId="0" fontId="7" fillId="0" borderId="0" xfId="0" applyFont="1" applyFill="1" applyAlignment="1"/>
    <xf numFmtId="43" fontId="0" fillId="0" borderId="0" xfId="0" applyNumberFormat="1" applyFont="1" applyFill="1" applyAlignment="1"/>
    <xf numFmtId="0" fontId="10" fillId="0" borderId="0" xfId="0" applyFont="1" applyFill="1" applyAlignment="1"/>
    <xf numFmtId="0" fontId="11" fillId="0" borderId="0" xfId="0" applyFont="1" applyFill="1" applyAlignment="1">
      <alignment horizontal="center" vertical="center"/>
    </xf>
    <xf numFmtId="0" fontId="0" fillId="0" borderId="0" xfId="0" applyFont="1" applyFill="1" applyAlignment="1">
      <alignment horizontal="left" vertical="center"/>
    </xf>
    <xf numFmtId="43" fontId="4" fillId="0" borderId="0" xfId="0" applyNumberFormat="1" applyFont="1" applyFill="1" applyAlignment="1">
      <alignment horizontal="center" vertical="center"/>
    </xf>
    <xf numFmtId="0" fontId="0" fillId="0" borderId="0" xfId="0" applyNumberFormat="1" applyFont="1" applyFill="1" applyAlignment="1">
      <alignment horizontal="righ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left" vertical="center"/>
    </xf>
    <xf numFmtId="176" fontId="13" fillId="0" borderId="2" xfId="1" applyNumberFormat="1" applyFont="1" applyFill="1" applyBorder="1" applyAlignment="1">
      <alignment vertical="center"/>
    </xf>
    <xf numFmtId="0" fontId="13" fillId="0" borderId="16" xfId="0" applyFont="1" applyFill="1" applyBorder="1" applyAlignment="1">
      <alignment horizontal="left" vertical="center"/>
    </xf>
    <xf numFmtId="0" fontId="13" fillId="0" borderId="17" xfId="0" applyFont="1" applyFill="1" applyBorder="1" applyAlignment="1"/>
    <xf numFmtId="0" fontId="7" fillId="0" borderId="13" xfId="0" applyFont="1" applyFill="1" applyBorder="1" applyAlignment="1">
      <alignment horizontal="left" vertical="center"/>
    </xf>
    <xf numFmtId="176" fontId="7" fillId="0" borderId="2" xfId="1" applyNumberFormat="1" applyFont="1" applyFill="1" applyBorder="1" applyAlignment="1">
      <alignment horizontal="right" vertical="center"/>
    </xf>
    <xf numFmtId="0" fontId="7" fillId="0" borderId="2" xfId="0" applyFont="1" applyFill="1" applyBorder="1" applyAlignment="1">
      <alignment horizontal="left" vertical="center"/>
    </xf>
    <xf numFmtId="176" fontId="7" fillId="0" borderId="2" xfId="1" applyNumberFormat="1" applyFont="1" applyFill="1" applyBorder="1" applyAlignment="1">
      <alignment vertical="center"/>
    </xf>
    <xf numFmtId="0" fontId="7" fillId="0" borderId="17" xfId="0" applyFont="1" applyFill="1" applyBorder="1" applyAlignment="1"/>
    <xf numFmtId="177" fontId="7" fillId="0" borderId="2" xfId="1" applyNumberFormat="1" applyFont="1" applyFill="1" applyBorder="1" applyAlignment="1">
      <alignment vertical="center"/>
    </xf>
    <xf numFmtId="0" fontId="13" fillId="0" borderId="13" xfId="0" applyFont="1" applyFill="1" applyBorder="1" applyAlignment="1">
      <alignment horizontal="left" vertical="center"/>
    </xf>
    <xf numFmtId="0" fontId="13" fillId="0" borderId="2" xfId="0" applyFont="1" applyFill="1" applyBorder="1" applyAlignment="1">
      <alignment horizontal="left" vertical="center"/>
    </xf>
    <xf numFmtId="178" fontId="13" fillId="0" borderId="18" xfId="0" applyNumberFormat="1" applyFont="1" applyFill="1" applyBorder="1" applyAlignment="1">
      <alignment horizontal="center" vertical="center"/>
    </xf>
    <xf numFmtId="176" fontId="13" fillId="0" borderId="19" xfId="1" applyNumberFormat="1" applyFont="1" applyFill="1" applyBorder="1" applyAlignment="1">
      <alignment vertical="center"/>
    </xf>
    <xf numFmtId="178" fontId="13" fillId="0" borderId="2" xfId="0" applyNumberFormat="1" applyFont="1" applyFill="1" applyBorder="1" applyAlignment="1">
      <alignment horizontal="center" vertical="center"/>
    </xf>
    <xf numFmtId="43" fontId="0" fillId="0" borderId="0" xfId="0" applyNumberFormat="1" applyFont="1" applyFill="1" applyBorder="1" applyAlignment="1"/>
    <xf numFmtId="0" fontId="0" fillId="0" borderId="0" xfId="0" applyFont="1" applyFill="1" applyBorder="1" applyAlignment="1"/>
    <xf numFmtId="0" fontId="0" fillId="0" borderId="0" xfId="0" applyNumberFormat="1" applyFont="1" applyFill="1" applyAlignment="1"/>
    <xf numFmtId="43" fontId="4" fillId="0" borderId="0" xfId="0" applyNumberFormat="1" applyFont="1" applyFill="1" applyAlignment="1">
      <alignment horizontal="right" vertical="center"/>
    </xf>
    <xf numFmtId="0" fontId="13" fillId="0" borderId="0" xfId="0" applyFont="1" applyFill="1" applyAlignment="1"/>
    <xf numFmtId="0" fontId="4" fillId="0" borderId="0" xfId="0" applyNumberFormat="1" applyFont="1" applyFill="1" applyAlignment="1">
      <alignment horizontal="right" vertical="center"/>
    </xf>
    <xf numFmtId="0" fontId="12" fillId="0" borderId="0" xfId="0" applyFont="1" applyFill="1" applyAlignment="1"/>
    <xf numFmtId="0" fontId="14" fillId="0" borderId="0" xfId="0" applyFont="1" applyFill="1" applyAlignment="1"/>
    <xf numFmtId="0" fontId="0" fillId="0" borderId="0" xfId="0" applyFill="1"/>
    <xf numFmtId="0" fontId="4" fillId="0" borderId="0" xfId="0" applyFont="1" applyFill="1" applyAlignment="1">
      <alignment vertical="center"/>
    </xf>
    <xf numFmtId="0" fontId="8" fillId="0" borderId="0" xfId="0" applyFont="1" applyFill="1" applyAlignment="1">
      <alignment vertical="center"/>
    </xf>
    <xf numFmtId="0" fontId="15"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4" fillId="0" borderId="1" xfId="0" applyNumberFormat="1" applyFont="1" applyFill="1" applyBorder="1" applyAlignment="1" applyProtection="1">
      <alignment vertical="center"/>
    </xf>
    <xf numFmtId="0" fontId="8" fillId="0" borderId="2"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vertical="center"/>
    </xf>
    <xf numFmtId="3" fontId="4" fillId="0" borderId="2"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left" vertical="center"/>
    </xf>
    <xf numFmtId="0" fontId="0" fillId="0" borderId="0" xfId="0" applyFont="1" applyFill="1"/>
    <xf numFmtId="0" fontId="4" fillId="0" borderId="0" xfId="0" applyFont="1" applyFill="1"/>
    <xf numFmtId="0" fontId="12" fillId="0" borderId="0" xfId="0" applyFont="1" applyFill="1"/>
    <xf numFmtId="0" fontId="16" fillId="0" borderId="0" xfId="0" applyFont="1" applyFill="1" applyAlignment="1">
      <alignment horizontal="center" vertical="center"/>
    </xf>
    <xf numFmtId="0" fontId="17" fillId="0" borderId="0" xfId="0" applyFont="1" applyFill="1"/>
    <xf numFmtId="0" fontId="0" fillId="0" borderId="0" xfId="0" applyFont="1" applyFill="1" applyAlignment="1">
      <alignment horizontal="right"/>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wrapText="1"/>
    </xf>
    <xf numFmtId="0" fontId="4" fillId="0" borderId="7" xfId="0" applyFont="1" applyFill="1" applyBorder="1" applyAlignment="1">
      <alignment horizontal="center" wrapText="1"/>
    </xf>
    <xf numFmtId="0" fontId="4" fillId="0" borderId="7"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2" borderId="2" xfId="0" applyFont="1" applyFill="1" applyBorder="1" applyAlignment="1">
      <alignment vertical="center" shrinkToFit="1"/>
    </xf>
    <xf numFmtId="0" fontId="8" fillId="2" borderId="2" xfId="0" applyFont="1" applyFill="1" applyBorder="1" applyAlignment="1">
      <alignment vertical="center"/>
    </xf>
    <xf numFmtId="0" fontId="4" fillId="0" borderId="2" xfId="0" applyFont="1" applyFill="1" applyBorder="1" applyAlignment="1">
      <alignment vertical="center" shrinkToFit="1"/>
    </xf>
    <xf numFmtId="3" fontId="4" fillId="0" borderId="2" xfId="0" applyNumberFormat="1" applyFont="1" applyFill="1" applyBorder="1" applyAlignment="1" applyProtection="1">
      <alignment horizontal="left" vertical="center" shrinkToFit="1"/>
    </xf>
    <xf numFmtId="0" fontId="4" fillId="0" borderId="2" xfId="0" applyFont="1" applyFill="1" applyBorder="1" applyAlignment="1">
      <alignment horizontal="left" vertical="center" shrinkToFit="1"/>
    </xf>
    <xf numFmtId="3" fontId="4" fillId="0" borderId="2" xfId="0" applyNumberFormat="1" applyFont="1" applyFill="1" applyBorder="1" applyAlignment="1" applyProtection="1">
      <alignment horizontal="left" vertical="center"/>
    </xf>
    <xf numFmtId="0" fontId="8" fillId="0" borderId="2" xfId="0" applyFont="1" applyFill="1" applyBorder="1" applyAlignment="1">
      <alignment horizontal="distributed" vertical="center"/>
    </xf>
    <xf numFmtId="0" fontId="8" fillId="0" borderId="2" xfId="0" applyFont="1" applyFill="1" applyBorder="1" applyAlignment="1">
      <alignment vertical="center"/>
    </xf>
    <xf numFmtId="0" fontId="0" fillId="0" borderId="0" xfId="0" applyFont="1" applyFill="1" applyAlignment="1">
      <alignment vertical="center"/>
    </xf>
    <xf numFmtId="0" fontId="4" fillId="3" borderId="0" xfId="0" applyFont="1" applyFill="1" applyAlignment="1">
      <alignment vertical="center"/>
    </xf>
    <xf numFmtId="10" fontId="0" fillId="0" borderId="0" xfId="0" applyNumberFormat="1" applyFont="1" applyFill="1" applyAlignment="1">
      <alignment vertical="center"/>
    </xf>
    <xf numFmtId="10" fontId="16" fillId="0" borderId="0" xfId="0" applyNumberFormat="1" applyFont="1" applyFill="1" applyAlignment="1">
      <alignment horizontal="center" vertical="center"/>
    </xf>
    <xf numFmtId="0" fontId="17" fillId="0" borderId="0" xfId="0" applyFont="1" applyFill="1" applyAlignment="1">
      <alignment vertical="center"/>
    </xf>
    <xf numFmtId="10" fontId="0" fillId="0" borderId="0" xfId="0" applyNumberFormat="1" applyFont="1" applyFill="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10" fontId="18" fillId="0" borderId="23"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3" fontId="8" fillId="2" borderId="2" xfId="0" applyNumberFormat="1" applyFont="1" applyFill="1" applyBorder="1" applyAlignment="1" applyProtection="1">
      <alignment vertical="center" shrinkToFit="1"/>
    </xf>
    <xf numFmtId="0" fontId="4" fillId="2" borderId="2" xfId="0" applyFont="1" applyFill="1" applyBorder="1" applyAlignment="1">
      <alignment vertical="center"/>
    </xf>
    <xf numFmtId="10" fontId="4" fillId="2" borderId="2" xfId="0" applyNumberFormat="1" applyFont="1" applyFill="1" applyBorder="1" applyAlignment="1">
      <alignment horizontal="right" vertical="center"/>
    </xf>
    <xf numFmtId="0" fontId="4" fillId="2" borderId="7" xfId="0" applyFont="1" applyFill="1" applyBorder="1" applyAlignment="1">
      <alignment horizontal="right" vertical="center"/>
    </xf>
    <xf numFmtId="3" fontId="4" fillId="0" borderId="2" xfId="0" applyNumberFormat="1" applyFont="1" applyFill="1" applyBorder="1" applyAlignment="1" applyProtection="1">
      <alignment vertical="center" shrinkToFit="1"/>
    </xf>
    <xf numFmtId="10" fontId="4" fillId="0" borderId="2" xfId="0" applyNumberFormat="1" applyFont="1" applyFill="1" applyBorder="1" applyAlignment="1">
      <alignment horizontal="right" vertical="center"/>
    </xf>
    <xf numFmtId="3" fontId="4" fillId="0" borderId="2" xfId="0" applyNumberFormat="1" applyFont="1" applyFill="1" applyBorder="1" applyAlignment="1" applyProtection="1">
      <alignment vertical="center"/>
    </xf>
    <xf numFmtId="10" fontId="8" fillId="0" borderId="2" xfId="0" applyNumberFormat="1" applyFont="1" applyFill="1" applyBorder="1" applyAlignment="1">
      <alignment horizontal="right" vertical="center"/>
    </xf>
    <xf numFmtId="0" fontId="8" fillId="2" borderId="2" xfId="0" applyFont="1" applyFill="1" applyBorder="1" applyAlignment="1">
      <alignment horizontal="left" vertical="center" shrinkToFit="1"/>
    </xf>
    <xf numFmtId="1" fontId="4" fillId="0" borderId="2" xfId="0" applyNumberFormat="1" applyFont="1" applyFill="1" applyBorder="1" applyAlignment="1" applyProtection="1">
      <alignment vertical="center" shrinkToFit="1"/>
      <protection locked="0"/>
    </xf>
    <xf numFmtId="0" fontId="0" fillId="0" borderId="0" xfId="0" applyFont="1" applyFill="1" applyAlignment="1">
      <alignment horizontal="center" vertical="center"/>
    </xf>
    <xf numFmtId="0" fontId="4" fillId="0" borderId="2" xfId="0" applyNumberFormat="1" applyFont="1" applyFill="1" applyBorder="1" applyAlignment="1" applyProtection="1">
      <alignment horizontal="right" vertical="center"/>
    </xf>
    <xf numFmtId="0" fontId="0" fillId="0" borderId="0" xfId="0" applyFont="1" applyFill="1" applyAlignment="1">
      <alignment horizontal="left" vertical="center" shrinkToFit="1"/>
    </xf>
    <xf numFmtId="0" fontId="0" fillId="0" borderId="0" xfId="0" applyFont="1" applyFill="1" applyBorder="1" applyAlignment="1">
      <alignment vertical="center"/>
    </xf>
    <xf numFmtId="49" fontId="4" fillId="0" borderId="6" xfId="0" applyNumberFormat="1" applyFont="1" applyFill="1" applyBorder="1" applyAlignment="1">
      <alignment horizontal="center" vertical="center"/>
    </xf>
    <xf numFmtId="0" fontId="8" fillId="0" borderId="23"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8" fillId="4" borderId="2" xfId="0" applyNumberFormat="1" applyFont="1" applyFill="1" applyBorder="1" applyAlignment="1">
      <alignment vertical="center"/>
    </xf>
    <xf numFmtId="0" fontId="8" fillId="4" borderId="21" xfId="0" applyFont="1" applyFill="1" applyBorder="1" applyAlignment="1">
      <alignment vertical="center"/>
    </xf>
    <xf numFmtId="0" fontId="8" fillId="4" borderId="2" xfId="0" applyFont="1" applyFill="1" applyBorder="1" applyAlignment="1">
      <alignment horizontal="right" vertical="center"/>
    </xf>
    <xf numFmtId="49" fontId="4" fillId="0" borderId="2" xfId="0" applyNumberFormat="1" applyFont="1" applyFill="1" applyBorder="1" applyAlignment="1">
      <alignment vertical="center"/>
    </xf>
    <xf numFmtId="177" fontId="4" fillId="0" borderId="21" xfId="0" applyNumberFormat="1" applyFont="1" applyFill="1" applyBorder="1" applyAlignment="1" applyProtection="1">
      <alignment horizontal="left" vertical="center"/>
      <protection locked="0"/>
    </xf>
    <xf numFmtId="0" fontId="4" fillId="0" borderId="2" xfId="0" applyFont="1" applyFill="1" applyBorder="1" applyAlignment="1">
      <alignment horizontal="right" vertical="center"/>
    </xf>
    <xf numFmtId="179" fontId="4" fillId="0" borderId="21" xfId="0" applyNumberFormat="1" applyFont="1" applyFill="1" applyBorder="1" applyAlignment="1" applyProtection="1">
      <alignment horizontal="left" vertical="center"/>
      <protection locked="0"/>
    </xf>
    <xf numFmtId="0" fontId="4" fillId="0" borderId="21" xfId="0" applyFont="1" applyFill="1" applyBorder="1" applyAlignment="1">
      <alignment vertical="center"/>
    </xf>
    <xf numFmtId="0" fontId="4" fillId="5" borderId="2" xfId="0" applyFont="1" applyFill="1" applyBorder="1" applyAlignment="1">
      <alignment horizontal="right" vertical="center"/>
    </xf>
    <xf numFmtId="49" fontId="4" fillId="0" borderId="2" xfId="0" applyNumberFormat="1" applyFont="1" applyFill="1" applyBorder="1" applyAlignment="1">
      <alignment vertical="center" shrinkToFit="1"/>
    </xf>
    <xf numFmtId="49" fontId="4" fillId="0" borderId="2" xfId="0" applyNumberFormat="1" applyFont="1" applyFill="1" applyBorder="1" applyAlignment="1">
      <alignment horizontal="left" vertical="center" shrinkToFit="1"/>
    </xf>
    <xf numFmtId="0" fontId="0" fillId="0" borderId="0" xfId="0" applyFont="1" applyFill="1" applyAlignment="1">
      <alignment horizontal="right" vertical="center"/>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24" xfId="0" applyFont="1" applyFill="1" applyBorder="1" applyAlignment="1">
      <alignment horizontal="left" vertical="center"/>
    </xf>
    <xf numFmtId="0" fontId="8" fillId="0" borderId="24" xfId="0" applyFont="1" applyFill="1" applyBorder="1" applyAlignment="1">
      <alignment horizontal="left" vertical="center" shrinkToFit="1"/>
    </xf>
    <xf numFmtId="0" fontId="8"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2" xfId="0" applyNumberFormat="1" applyFont="1" applyFill="1" applyBorder="1" applyAlignment="1">
      <alignment horizontal="left" vertical="center"/>
    </xf>
    <xf numFmtId="0" fontId="8" fillId="4" borderId="0" xfId="0" applyFont="1" applyFill="1" applyBorder="1" applyAlignment="1">
      <alignment horizontal="center" vertical="center"/>
    </xf>
    <xf numFmtId="0" fontId="8" fillId="4" borderId="2" xfId="0" applyFont="1" applyFill="1" applyBorder="1" applyAlignment="1">
      <alignment horizontal="left" vertical="center"/>
    </xf>
    <xf numFmtId="0" fontId="8" fillId="4" borderId="2" xfId="0" applyFont="1" applyFill="1" applyBorder="1" applyAlignment="1">
      <alignment horizontal="left" vertical="center" shrinkToFit="1"/>
    </xf>
    <xf numFmtId="0" fontId="8" fillId="4" borderId="0" xfId="0" applyFont="1"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49" fontId="19" fillId="0" borderId="2" xfId="0" applyNumberFormat="1" applyFont="1" applyFill="1" applyBorder="1" applyAlignment="1">
      <alignment horizontal="left" vertical="center" shrinkToFit="1"/>
    </xf>
    <xf numFmtId="0" fontId="4" fillId="0" borderId="21" xfId="0" applyFont="1" applyFill="1" applyBorder="1" applyAlignment="1">
      <alignment vertical="center" shrinkToFit="1"/>
    </xf>
    <xf numFmtId="49" fontId="4" fillId="0" borderId="2" xfId="0" applyNumberFormat="1" applyFont="1" applyFill="1" applyBorder="1"/>
    <xf numFmtId="0" fontId="4" fillId="0" borderId="21" xfId="0" applyNumberFormat="1" applyFont="1" applyFill="1" applyBorder="1" applyAlignment="1" applyProtection="1">
      <alignment vertical="center"/>
    </xf>
    <xf numFmtId="49" fontId="4" fillId="0" borderId="2" xfId="0" applyNumberFormat="1" applyFont="1" applyFill="1" applyBorder="1" applyAlignment="1" applyProtection="1">
      <alignment horizontal="left" vertical="center"/>
    </xf>
    <xf numFmtId="49" fontId="4" fillId="0" borderId="2" xfId="0" applyNumberFormat="1" applyFont="1" applyFill="1" applyBorder="1" applyAlignment="1">
      <alignment horizontal="left"/>
    </xf>
    <xf numFmtId="49" fontId="4" fillId="0" borderId="25" xfId="0" applyNumberFormat="1" applyFont="1" applyFill="1" applyBorder="1" applyAlignment="1">
      <alignment horizontal="left" vertical="center"/>
    </xf>
    <xf numFmtId="49" fontId="4" fillId="0" borderId="26" xfId="0" applyNumberFormat="1" applyFont="1" applyFill="1" applyBorder="1" applyAlignment="1">
      <alignment horizontal="left" vertical="center" shrinkToFit="1"/>
    </xf>
    <xf numFmtId="0" fontId="4" fillId="0" borderId="27" xfId="0" applyFont="1" applyFill="1" applyBorder="1" applyAlignment="1">
      <alignment horizontal="right"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4" fillId="0" borderId="28" xfId="0" applyFont="1" applyFill="1" applyBorder="1" applyAlignment="1">
      <alignment vertical="center"/>
    </xf>
    <xf numFmtId="0" fontId="10" fillId="0" borderId="0" xfId="0" applyFont="1" applyFill="1"/>
    <xf numFmtId="0" fontId="20" fillId="0" borderId="0" xfId="0" applyFont="1" applyFill="1"/>
    <xf numFmtId="0" fontId="16" fillId="0" borderId="0" xfId="55" applyFont="1" applyFill="1" applyAlignment="1">
      <alignment horizontal="center" vertical="center"/>
    </xf>
    <xf numFmtId="0" fontId="17" fillId="0" borderId="0" xfId="55" applyFont="1" applyFill="1" applyAlignment="1">
      <alignment vertical="center"/>
    </xf>
    <xf numFmtId="0" fontId="0" fillId="0" borderId="0" xfId="55" applyFont="1" applyFill="1" applyAlignment="1">
      <alignment vertical="center"/>
    </xf>
    <xf numFmtId="0" fontId="4" fillId="0" borderId="1" xfId="55" applyFont="1" applyFill="1" applyBorder="1" applyAlignment="1">
      <alignment horizontal="right" vertical="center"/>
    </xf>
    <xf numFmtId="0" fontId="18" fillId="0" borderId="21" xfId="55" applyFont="1" applyFill="1" applyBorder="1" applyAlignment="1">
      <alignment horizontal="distributed" vertical="center"/>
    </xf>
    <xf numFmtId="0" fontId="18" fillId="0" borderId="22" xfId="55" applyFont="1" applyFill="1" applyBorder="1" applyAlignment="1">
      <alignment horizontal="distributed" vertical="center"/>
    </xf>
    <xf numFmtId="0" fontId="18" fillId="0" borderId="21" xfId="55" applyFont="1" applyFill="1" applyBorder="1" applyAlignment="1">
      <alignment horizontal="center" vertical="center"/>
    </xf>
    <xf numFmtId="0" fontId="18" fillId="0" borderId="22" xfId="55" applyFont="1" applyFill="1" applyBorder="1" applyAlignment="1">
      <alignment horizontal="center" vertical="center"/>
    </xf>
    <xf numFmtId="0" fontId="8" fillId="0" borderId="2" xfId="55" applyFont="1" applyFill="1" applyBorder="1" applyAlignment="1">
      <alignment horizontal="distributed" vertical="center"/>
    </xf>
    <xf numFmtId="0" fontId="21" fillId="0" borderId="2" xfId="55" applyFont="1" applyFill="1" applyBorder="1" applyAlignment="1">
      <alignment horizontal="center" vertical="center"/>
    </xf>
    <xf numFmtId="0" fontId="21" fillId="0" borderId="2" xfId="55" applyFont="1" applyFill="1" applyBorder="1" applyAlignment="1">
      <alignment horizontal="center" vertical="center" wrapText="1"/>
    </xf>
    <xf numFmtId="0" fontId="21" fillId="0" borderId="2" xfId="55" applyFont="1" applyFill="1" applyBorder="1" applyAlignment="1">
      <alignment horizontal="left" vertical="center"/>
    </xf>
    <xf numFmtId="0" fontId="21" fillId="0" borderId="2" xfId="55" applyFont="1" applyFill="1" applyBorder="1" applyAlignment="1">
      <alignment vertical="center"/>
    </xf>
    <xf numFmtId="0" fontId="21" fillId="2" borderId="2" xfId="55" applyFont="1" applyFill="1" applyBorder="1" applyAlignment="1">
      <alignment vertical="center"/>
    </xf>
    <xf numFmtId="2" fontId="21" fillId="0" borderId="2" xfId="55" applyNumberFormat="1" applyFont="1" applyFill="1" applyBorder="1" applyAlignment="1">
      <alignment vertical="center"/>
    </xf>
    <xf numFmtId="1" fontId="21" fillId="0" borderId="2" xfId="55" applyNumberFormat="1" applyFont="1" applyFill="1" applyBorder="1" applyAlignment="1">
      <alignment vertical="center"/>
    </xf>
    <xf numFmtId="1" fontId="21" fillId="0" borderId="2" xfId="55" applyNumberFormat="1" applyFont="1" applyFill="1" applyBorder="1" applyAlignment="1" applyProtection="1">
      <alignment vertical="center"/>
      <protection locked="0"/>
    </xf>
    <xf numFmtId="1" fontId="21" fillId="0" borderId="2" xfId="55" applyNumberFormat="1" applyFont="1" applyFill="1" applyBorder="1" applyAlignment="1" applyProtection="1">
      <alignment horizontal="left" vertical="center"/>
      <protection locked="0"/>
    </xf>
    <xf numFmtId="1" fontId="2" fillId="0" borderId="2" xfId="55" applyNumberFormat="1" applyFont="1" applyFill="1" applyBorder="1" applyAlignment="1" applyProtection="1">
      <alignment horizontal="left" vertical="center"/>
      <protection locked="0"/>
    </xf>
    <xf numFmtId="0" fontId="7" fillId="0" borderId="2" xfId="0" applyFont="1" applyFill="1" applyBorder="1" applyAlignment="1">
      <alignment vertical="center"/>
    </xf>
    <xf numFmtId="0" fontId="2" fillId="0" borderId="2" xfId="55" applyFont="1" applyFill="1" applyBorder="1" applyAlignment="1">
      <alignment vertical="center"/>
    </xf>
    <xf numFmtId="1" fontId="2" fillId="0" borderId="2" xfId="55" applyNumberFormat="1" applyFont="1" applyFill="1" applyBorder="1" applyAlignment="1" applyProtection="1">
      <alignment vertical="center"/>
      <protection locked="0"/>
    </xf>
    <xf numFmtId="1" fontId="2" fillId="0" borderId="2" xfId="55" applyNumberFormat="1" applyFont="1" applyFill="1" applyBorder="1" applyAlignment="1">
      <alignment vertical="center"/>
    </xf>
    <xf numFmtId="2" fontId="2" fillId="0" borderId="2" xfId="55" applyNumberFormat="1" applyFont="1" applyFill="1" applyBorder="1" applyAlignment="1">
      <alignment vertical="center"/>
    </xf>
    <xf numFmtId="0" fontId="2" fillId="0" borderId="2" xfId="55" applyNumberFormat="1" applyFont="1" applyFill="1" applyBorder="1" applyAlignment="1" applyProtection="1">
      <alignment horizontal="left" vertical="center"/>
      <protection locked="0"/>
    </xf>
    <xf numFmtId="0" fontId="2" fillId="5" borderId="2" xfId="55" applyFont="1" applyFill="1" applyBorder="1" applyAlignment="1">
      <alignment vertical="center"/>
    </xf>
    <xf numFmtId="3" fontId="2" fillId="0" borderId="2" xfId="55" applyNumberFormat="1" applyFont="1" applyFill="1" applyBorder="1" applyAlignment="1" applyProtection="1">
      <alignment vertical="center"/>
    </xf>
    <xf numFmtId="3" fontId="22" fillId="0" borderId="2" xfId="55" applyNumberFormat="1" applyFont="1" applyFill="1" applyBorder="1" applyAlignment="1" applyProtection="1">
      <alignment horizontal="left" vertical="center"/>
    </xf>
    <xf numFmtId="0" fontId="4" fillId="5" borderId="2" xfId="0" applyNumberFormat="1" applyFont="1" applyFill="1" applyBorder="1" applyAlignment="1" applyProtection="1">
      <alignment horizontal="right" vertical="center"/>
    </xf>
    <xf numFmtId="0" fontId="2" fillId="0" borderId="2" xfId="55" applyNumberFormat="1" applyFont="1" applyFill="1" applyBorder="1" applyAlignment="1" applyProtection="1">
      <alignment vertical="center"/>
      <protection locked="0"/>
    </xf>
    <xf numFmtId="3" fontId="2" fillId="0" borderId="2" xfId="55" applyNumberFormat="1" applyFont="1" applyFill="1" applyBorder="1" applyAlignment="1" applyProtection="1">
      <alignment horizontal="left" vertical="center"/>
    </xf>
    <xf numFmtId="3" fontId="21" fillId="0" borderId="2" xfId="55" applyNumberFormat="1" applyFont="1" applyFill="1" applyBorder="1" applyAlignment="1" applyProtection="1">
      <alignment vertical="center"/>
    </xf>
    <xf numFmtId="0" fontId="2" fillId="0" borderId="2" xfId="55" applyFont="1" applyFill="1" applyBorder="1" applyAlignment="1">
      <alignment horizontal="left" vertical="center"/>
    </xf>
    <xf numFmtId="0" fontId="18" fillId="0" borderId="23" xfId="55" applyFont="1" applyFill="1" applyBorder="1" applyAlignment="1">
      <alignment horizontal="center" vertical="center"/>
    </xf>
    <xf numFmtId="1" fontId="21" fillId="5" borderId="2" xfId="55" applyNumberFormat="1" applyFont="1" applyFill="1" applyBorder="1" applyAlignment="1">
      <alignment vertical="center"/>
    </xf>
    <xf numFmtId="1" fontId="21" fillId="0" borderId="2" xfId="0" applyNumberFormat="1" applyFont="1" applyFill="1" applyBorder="1" applyAlignment="1" applyProtection="1">
      <alignment horizontal="left" vertical="center"/>
      <protection locked="0"/>
    </xf>
    <xf numFmtId="0" fontId="2" fillId="2" borderId="2" xfId="55" applyFont="1" applyFill="1" applyBorder="1" applyAlignment="1">
      <alignment vertical="center"/>
    </xf>
    <xf numFmtId="0" fontId="8" fillId="0" borderId="2" xfId="0" applyNumberFormat="1" applyFont="1" applyFill="1" applyBorder="1" applyAlignment="1" applyProtection="1">
      <alignment vertical="center"/>
    </xf>
    <xf numFmtId="1" fontId="2" fillId="0" borderId="2" xfId="0" applyNumberFormat="1" applyFont="1" applyFill="1" applyBorder="1" applyAlignment="1">
      <alignment vertical="center"/>
    </xf>
    <xf numFmtId="1" fontId="2" fillId="0" borderId="2" xfId="0" applyNumberFormat="1" applyFont="1" applyFill="1" applyBorder="1" applyAlignment="1" applyProtection="1">
      <alignment horizontal="left" vertical="center"/>
      <protection locked="0"/>
    </xf>
    <xf numFmtId="1" fontId="2" fillId="0" borderId="2" xfId="0" applyNumberFormat="1" applyFont="1" applyFill="1" applyBorder="1" applyAlignment="1" applyProtection="1">
      <alignment vertical="center"/>
      <protection locked="0"/>
    </xf>
    <xf numFmtId="0" fontId="21" fillId="0" borderId="2" xfId="55" applyFont="1" applyFill="1" applyBorder="1" applyAlignment="1">
      <alignment horizontal="distributed" vertical="center"/>
    </xf>
    <xf numFmtId="0" fontId="0" fillId="0" borderId="0" xfId="0" applyFill="1" applyAlignment="1">
      <alignment vertical="center"/>
    </xf>
    <xf numFmtId="0" fontId="23" fillId="0" borderId="0" xfId="0" applyNumberFormat="1" applyFont="1" applyFill="1" applyAlignment="1" applyProtection="1">
      <alignment horizontal="center" vertical="center"/>
    </xf>
    <xf numFmtId="0" fontId="24" fillId="0" borderId="29" xfId="0" applyFont="1" applyFill="1" applyBorder="1" applyAlignment="1">
      <alignment horizontal="center" vertical="center" wrapText="1"/>
    </xf>
    <xf numFmtId="0" fontId="25" fillId="0" borderId="29" xfId="0" applyFont="1" applyFill="1" applyBorder="1" applyAlignment="1">
      <alignment vertical="center" wrapText="1"/>
    </xf>
    <xf numFmtId="0" fontId="25" fillId="0" borderId="29" xfId="0" applyFont="1" applyFill="1" applyBorder="1" applyAlignment="1">
      <alignment horizontal="center" vertical="center" wrapText="1"/>
    </xf>
    <xf numFmtId="3" fontId="25" fillId="0" borderId="29" xfId="0" applyNumberFormat="1" applyFont="1" applyFill="1" applyBorder="1" applyAlignment="1">
      <alignment horizontal="right" vertical="center" wrapText="1"/>
    </xf>
    <xf numFmtId="0" fontId="25" fillId="0" borderId="29" xfId="0" applyFont="1" applyFill="1" applyBorder="1" applyAlignment="1">
      <alignment horizontal="left" vertical="center" wrapText="1"/>
    </xf>
    <xf numFmtId="0" fontId="26" fillId="0" borderId="29" xfId="0" applyFont="1" applyFill="1" applyBorder="1" applyAlignment="1">
      <alignment horizontal="center" vertical="center" wrapText="1"/>
    </xf>
    <xf numFmtId="3" fontId="26" fillId="0" borderId="29" xfId="0" applyNumberFormat="1" applyFont="1" applyFill="1" applyBorder="1" applyAlignment="1">
      <alignment horizontal="right" vertical="center" wrapText="1"/>
    </xf>
    <xf numFmtId="0" fontId="26" fillId="5" borderId="29" xfId="0" applyFont="1" applyFill="1" applyBorder="1" applyAlignment="1">
      <alignment horizontal="center" vertical="center" wrapText="1"/>
    </xf>
    <xf numFmtId="3" fontId="26" fillId="0" borderId="0" xfId="0" applyNumberFormat="1" applyFont="1" applyFill="1" applyBorder="1" applyAlignment="1">
      <alignment horizontal="right" vertical="center" wrapText="1"/>
    </xf>
    <xf numFmtId="0" fontId="0" fillId="0" borderId="0" xfId="0" applyFill="1" applyAlignment="1">
      <alignment horizontal="right" vertical="center"/>
    </xf>
    <xf numFmtId="0" fontId="19" fillId="0" borderId="0" xfId="0" applyFont="1" applyFill="1" applyAlignment="1">
      <alignment vertical="center"/>
    </xf>
    <xf numFmtId="0" fontId="27" fillId="0" borderId="0" xfId="0" applyFont="1" applyFill="1" applyAlignment="1">
      <alignment vertical="center"/>
    </xf>
    <xf numFmtId="49" fontId="0" fillId="0" borderId="0" xfId="0" applyNumberFormat="1" applyFont="1" applyFill="1" applyAlignment="1">
      <alignment vertical="center"/>
    </xf>
    <xf numFmtId="0" fontId="0" fillId="0" borderId="0" xfId="0" applyNumberFormat="1" applyFont="1" applyFill="1" applyAlignment="1">
      <alignment vertical="center"/>
    </xf>
    <xf numFmtId="49" fontId="0" fillId="0" borderId="0" xfId="0" applyNumberFormat="1" applyFont="1" applyFill="1" applyAlignment="1">
      <alignment vertical="center" shrinkToFit="1"/>
    </xf>
    <xf numFmtId="49" fontId="16" fillId="0" borderId="0" xfId="0" applyNumberFormat="1" applyFont="1" applyFill="1" applyAlignment="1">
      <alignment horizontal="center" vertical="center"/>
    </xf>
    <xf numFmtId="49" fontId="4" fillId="0" borderId="0" xfId="0" applyNumberFormat="1" applyFont="1" applyFill="1" applyAlignment="1">
      <alignment vertical="center"/>
    </xf>
    <xf numFmtId="0" fontId="4" fillId="0" borderId="0" xfId="0" applyNumberFormat="1" applyFont="1" applyFill="1" applyAlignment="1">
      <alignment vertical="center"/>
    </xf>
    <xf numFmtId="0" fontId="8" fillId="0" borderId="2" xfId="0" applyNumberFormat="1" applyFont="1" applyFill="1" applyBorder="1" applyAlignment="1">
      <alignment horizontal="center" vertical="center"/>
    </xf>
    <xf numFmtId="0" fontId="8" fillId="4" borderId="2" xfId="0" applyFont="1" applyFill="1" applyBorder="1" applyAlignment="1">
      <alignment vertical="center"/>
    </xf>
    <xf numFmtId="177" fontId="8" fillId="4" borderId="2" xfId="0" applyNumberFormat="1" applyFont="1" applyFill="1" applyBorder="1" applyAlignment="1">
      <alignment horizontal="right" vertical="center"/>
    </xf>
    <xf numFmtId="49" fontId="8" fillId="2" borderId="2" xfId="0" applyNumberFormat="1" applyFont="1" applyFill="1" applyBorder="1" applyAlignment="1">
      <alignment vertical="center"/>
    </xf>
    <xf numFmtId="177" fontId="8" fillId="2" borderId="2" xfId="0" applyNumberFormat="1" applyFont="1" applyFill="1" applyBorder="1" applyAlignment="1" applyProtection="1">
      <alignment horizontal="left" vertical="center"/>
      <protection locked="0"/>
    </xf>
    <xf numFmtId="177" fontId="8" fillId="2" borderId="2" xfId="0" applyNumberFormat="1" applyFont="1" applyFill="1" applyBorder="1" applyAlignment="1">
      <alignment horizontal="right" vertical="center"/>
    </xf>
    <xf numFmtId="177" fontId="4" fillId="0" borderId="2" xfId="0" applyNumberFormat="1" applyFont="1" applyFill="1" applyBorder="1" applyAlignment="1" applyProtection="1">
      <alignment horizontal="left" vertical="center"/>
      <protection locked="0"/>
    </xf>
    <xf numFmtId="177" fontId="4" fillId="0" borderId="2" xfId="0" applyNumberFormat="1" applyFont="1" applyFill="1" applyBorder="1" applyAlignment="1">
      <alignment horizontal="right" vertical="center"/>
    </xf>
    <xf numFmtId="177" fontId="8" fillId="0" borderId="2" xfId="0" applyNumberFormat="1" applyFont="1" applyFill="1" applyBorder="1" applyAlignment="1">
      <alignment horizontal="right" vertical="center"/>
    </xf>
    <xf numFmtId="179" fontId="4" fillId="0" borderId="2" xfId="0" applyNumberFormat="1" applyFont="1" applyFill="1" applyBorder="1" applyAlignment="1" applyProtection="1">
      <alignment horizontal="left" vertical="center"/>
      <protection locked="0"/>
    </xf>
    <xf numFmtId="0" fontId="16" fillId="0" borderId="0" xfId="0" applyFont="1" applyFill="1" applyAlignment="1">
      <alignment horizontal="left" vertical="center"/>
    </xf>
    <xf numFmtId="0" fontId="17" fillId="0" borderId="0" xfId="0" applyFont="1" applyFill="1" applyAlignment="1">
      <alignment horizontal="center" vertical="center"/>
    </xf>
    <xf numFmtId="49" fontId="17" fillId="0" borderId="0" xfId="0" applyNumberFormat="1" applyFont="1" applyFill="1" applyAlignment="1">
      <alignment vertical="center"/>
    </xf>
    <xf numFmtId="49" fontId="17" fillId="0" borderId="0" xfId="0" applyNumberFormat="1" applyFont="1" applyFill="1" applyAlignment="1">
      <alignment vertical="center" shrinkToFit="1"/>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49" fontId="4" fillId="0" borderId="0" xfId="0" applyNumberFormat="1" applyFont="1" applyFill="1" applyAlignment="1">
      <alignment vertical="center" shrinkToFit="1"/>
    </xf>
    <xf numFmtId="0" fontId="8" fillId="0" borderId="2" xfId="0" applyFont="1" applyFill="1" applyBorder="1" applyAlignment="1">
      <alignment horizontal="left" vertical="center"/>
    </xf>
    <xf numFmtId="0" fontId="8" fillId="4" borderId="2" xfId="0" applyNumberFormat="1" applyFont="1" applyFill="1" applyBorder="1" applyAlignment="1">
      <alignment horizontal="right" vertical="center"/>
    </xf>
    <xf numFmtId="0" fontId="8" fillId="4" borderId="0" xfId="0" applyFont="1" applyFill="1" applyAlignment="1">
      <alignment horizontal="center" vertical="center"/>
    </xf>
    <xf numFmtId="0" fontId="8" fillId="4" borderId="2" xfId="0" applyFont="1" applyFill="1" applyBorder="1" applyAlignment="1">
      <alignment horizontal="center" vertical="center"/>
    </xf>
    <xf numFmtId="49" fontId="8" fillId="4" borderId="2" xfId="0" applyNumberFormat="1" applyFont="1" applyFill="1" applyBorder="1" applyAlignment="1">
      <alignment vertical="center" shrinkToFit="1"/>
    </xf>
    <xf numFmtId="0" fontId="8" fillId="2" borderId="2" xfId="0" applyNumberFormat="1" applyFont="1" applyFill="1" applyBorder="1" applyAlignment="1">
      <alignment horizontal="right"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49" fontId="8" fillId="2" borderId="2" xfId="0" applyNumberFormat="1" applyFont="1" applyFill="1" applyBorder="1" applyAlignment="1">
      <alignment vertical="center" shrinkToFit="1"/>
    </xf>
    <xf numFmtId="177" fontId="4" fillId="0" borderId="2" xfId="0" applyNumberFormat="1" applyFont="1" applyFill="1" applyBorder="1" applyAlignment="1">
      <alignment vertical="center"/>
    </xf>
    <xf numFmtId="0" fontId="4" fillId="0" borderId="2" xfId="0" applyNumberFormat="1" applyFont="1" applyFill="1" applyBorder="1" applyAlignment="1">
      <alignment horizontal="right" vertical="center"/>
    </xf>
    <xf numFmtId="177" fontId="4" fillId="0" borderId="2" xfId="0" applyNumberFormat="1" applyFont="1" applyFill="1" applyBorder="1" applyAlignment="1" applyProtection="1">
      <alignment horizontal="left" vertical="center" shrinkToFit="1"/>
      <protection locked="0"/>
    </xf>
    <xf numFmtId="179" fontId="4" fillId="0" borderId="2" xfId="0" applyNumberFormat="1" applyFont="1" applyFill="1" applyBorder="1" applyAlignment="1" applyProtection="1">
      <alignment horizontal="left" vertical="center" shrinkToFit="1"/>
      <protection locked="0"/>
    </xf>
    <xf numFmtId="177" fontId="8" fillId="0" borderId="2" xfId="0" applyNumberFormat="1" applyFont="1" applyFill="1" applyBorder="1" applyAlignment="1">
      <alignment vertical="center"/>
    </xf>
    <xf numFmtId="177" fontId="8" fillId="2" borderId="2" xfId="0" applyNumberFormat="1" applyFont="1" applyFill="1" applyBorder="1" applyAlignment="1" applyProtection="1">
      <alignment horizontal="left" vertical="center" shrinkToFit="1"/>
      <protection locked="0"/>
    </xf>
    <xf numFmtId="0" fontId="8" fillId="0" borderId="2" xfId="0" applyNumberFormat="1" applyFont="1" applyFill="1" applyBorder="1" applyAlignment="1">
      <alignment horizontal="right" vertical="center"/>
    </xf>
    <xf numFmtId="49" fontId="8" fillId="0" borderId="2" xfId="0" applyNumberFormat="1" applyFont="1" applyFill="1" applyBorder="1" applyAlignment="1">
      <alignment vertical="center"/>
    </xf>
    <xf numFmtId="0" fontId="28" fillId="6" borderId="0" xfId="0" applyFont="1" applyFill="1" applyAlignment="1">
      <alignment vertical="center" wrapText="1"/>
    </xf>
    <xf numFmtId="177" fontId="4" fillId="5" borderId="2" xfId="0" applyNumberFormat="1" applyFont="1" applyFill="1" applyBorder="1" applyAlignment="1">
      <alignment vertical="center"/>
    </xf>
    <xf numFmtId="179" fontId="8" fillId="2" borderId="2" xfId="0" applyNumberFormat="1" applyFont="1" applyFill="1" applyBorder="1" applyAlignment="1" applyProtection="1">
      <alignment horizontal="left" vertical="center"/>
      <protection locked="0"/>
    </xf>
    <xf numFmtId="0" fontId="8" fillId="2" borderId="2" xfId="0" applyFont="1" applyFill="1" applyBorder="1" applyAlignment="1">
      <alignment horizontal="right" vertical="center"/>
    </xf>
    <xf numFmtId="49" fontId="4" fillId="0" borderId="30" xfId="0" applyNumberFormat="1" applyFont="1" applyFill="1" applyBorder="1" applyAlignment="1">
      <alignment vertical="center"/>
    </xf>
    <xf numFmtId="0" fontId="4" fillId="0" borderId="30" xfId="0" applyFont="1" applyFill="1" applyBorder="1" applyAlignment="1">
      <alignment vertical="center"/>
    </xf>
    <xf numFmtId="49" fontId="29" fillId="0" borderId="29" xfId="0" applyNumberFormat="1" applyFont="1" applyFill="1" applyBorder="1" applyAlignment="1" applyProtection="1">
      <alignment horizontal="left" vertical="center"/>
    </xf>
    <xf numFmtId="0" fontId="29" fillId="0" borderId="29" xfId="0" applyFont="1" applyFill="1" applyBorder="1" applyAlignment="1" applyProtection="1">
      <alignment horizontal="left" vertical="center"/>
    </xf>
    <xf numFmtId="0" fontId="4" fillId="0" borderId="30" xfId="0" applyFont="1" applyFill="1" applyBorder="1" applyAlignment="1">
      <alignment vertical="center" shrinkToFit="1"/>
    </xf>
    <xf numFmtId="0" fontId="4" fillId="0" borderId="29" xfId="0" applyFont="1" applyFill="1" applyBorder="1" applyAlignment="1" applyProtection="1">
      <alignment horizontal="left" vertical="center" shrinkToFit="1"/>
    </xf>
    <xf numFmtId="0" fontId="4" fillId="0" borderId="2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shrinkToFit="1"/>
    </xf>
    <xf numFmtId="49" fontId="8" fillId="4" borderId="2" xfId="0" applyNumberFormat="1" applyFont="1" applyFill="1" applyBorder="1" applyAlignment="1">
      <alignment horizontal="left" vertical="center" shrinkToFit="1"/>
    </xf>
    <xf numFmtId="0" fontId="8" fillId="0" borderId="2" xfId="0" applyFont="1" applyFill="1" applyBorder="1" applyAlignment="1">
      <alignment horizontal="right" vertical="center"/>
    </xf>
    <xf numFmtId="49" fontId="27" fillId="0" borderId="2" xfId="0" applyNumberFormat="1" applyFont="1" applyFill="1" applyBorder="1" applyAlignment="1">
      <alignment vertical="center"/>
    </xf>
    <xf numFmtId="0" fontId="27" fillId="0" borderId="2" xfId="0" applyFont="1" applyFill="1" applyBorder="1" applyAlignment="1">
      <alignment vertical="center"/>
    </xf>
    <xf numFmtId="177" fontId="27" fillId="0" borderId="2" xfId="0" applyNumberFormat="1" applyFont="1" applyFill="1" applyBorder="1" applyAlignment="1">
      <alignment horizontal="right" vertical="center"/>
    </xf>
    <xf numFmtId="177" fontId="30" fillId="0" borderId="2" xfId="0" applyNumberFormat="1" applyFont="1" applyFill="1" applyBorder="1" applyAlignment="1">
      <alignment horizontal="right" vertical="center"/>
    </xf>
    <xf numFmtId="0" fontId="27" fillId="0" borderId="2" xfId="0" applyNumberFormat="1" applyFont="1" applyFill="1" applyBorder="1" applyAlignment="1">
      <alignment horizontal="right" vertical="center"/>
    </xf>
    <xf numFmtId="0" fontId="27" fillId="0" borderId="0" xfId="0" applyFont="1" applyFill="1" applyAlignment="1">
      <alignment horizontal="center" vertical="center"/>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left" vertical="center" shrinkToFit="1"/>
    </xf>
    <xf numFmtId="49" fontId="27" fillId="0" borderId="2" xfId="0" applyNumberFormat="1" applyFont="1" applyFill="1" applyBorder="1" applyAlignment="1">
      <alignment vertical="center" shrinkToFit="1"/>
    </xf>
    <xf numFmtId="0" fontId="27" fillId="0" borderId="0" xfId="0" applyFont="1" applyFill="1" applyAlignment="1">
      <alignment vertical="center" wrapText="1"/>
    </xf>
    <xf numFmtId="0" fontId="31" fillId="0" borderId="0" xfId="0" applyFont="1" applyFill="1" applyAlignment="1">
      <alignment vertical="center" wrapText="1"/>
    </xf>
    <xf numFmtId="177" fontId="4" fillId="0" borderId="29" xfId="0" applyNumberFormat="1" applyFont="1" applyFill="1" applyBorder="1" applyAlignment="1">
      <alignment horizontal="right" vertical="center"/>
    </xf>
    <xf numFmtId="177" fontId="8" fillId="2" borderId="2" xfId="0" applyNumberFormat="1" applyFont="1" applyFill="1" applyBorder="1" applyAlignment="1">
      <alignment vertical="center"/>
    </xf>
    <xf numFmtId="49" fontId="8" fillId="2" borderId="2" xfId="0" applyNumberFormat="1" applyFont="1" applyFill="1" applyBorder="1" applyAlignment="1">
      <alignment horizontal="left" vertical="center" shrinkToFit="1"/>
    </xf>
    <xf numFmtId="49" fontId="4" fillId="0" borderId="2" xfId="0" applyNumberFormat="1" applyFont="1" applyFill="1" applyBorder="1" applyAlignment="1"/>
    <xf numFmtId="177" fontId="8" fillId="4" borderId="2" xfId="0" applyNumberFormat="1" applyFont="1" applyFill="1" applyBorder="1" applyAlignment="1">
      <alignment vertical="center"/>
    </xf>
    <xf numFmtId="177" fontId="4" fillId="0" borderId="2" xfId="0" applyNumberFormat="1" applyFont="1" applyFill="1" applyBorder="1" applyAlignment="1">
      <alignment horizontal="left" vertical="center"/>
    </xf>
    <xf numFmtId="0" fontId="13" fillId="0" borderId="0" xfId="0" applyFont="1" applyFill="1" applyAlignment="1">
      <alignment vertical="center"/>
    </xf>
    <xf numFmtId="0" fontId="7" fillId="0" borderId="0" xfId="0" applyFont="1" applyFill="1" applyAlignment="1">
      <alignment vertical="center"/>
    </xf>
    <xf numFmtId="0" fontId="32" fillId="0" borderId="0" xfId="0" applyFont="1" applyFill="1" applyAlignment="1">
      <alignment vertical="center"/>
    </xf>
    <xf numFmtId="0" fontId="0" fillId="0" borderId="0" xfId="0" applyFont="1" applyFill="1" applyAlignment="1">
      <alignment vertical="center" wrapText="1"/>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wrapText="1"/>
    </xf>
    <xf numFmtId="0" fontId="13" fillId="0" borderId="13" xfId="0" applyFont="1" applyFill="1" applyBorder="1" applyAlignment="1">
      <alignment vertical="center"/>
    </xf>
    <xf numFmtId="0" fontId="13" fillId="0" borderId="2" xfId="0" applyFont="1" applyFill="1" applyBorder="1" applyAlignment="1">
      <alignment horizontal="right" vertical="center"/>
    </xf>
    <xf numFmtId="0" fontId="13" fillId="0" borderId="2" xfId="0" applyFont="1" applyFill="1" applyBorder="1" applyAlignment="1">
      <alignment horizontal="right" vertical="center" wrapText="1"/>
    </xf>
    <xf numFmtId="2" fontId="13" fillId="0" borderId="17" xfId="0" applyNumberFormat="1" applyFont="1" applyFill="1" applyBorder="1" applyAlignment="1">
      <alignment horizontal="right" vertical="center"/>
    </xf>
    <xf numFmtId="0" fontId="7" fillId="0" borderId="13" xfId="0" applyFont="1" applyFill="1" applyBorder="1" applyAlignment="1">
      <alignment vertical="center"/>
    </xf>
    <xf numFmtId="0" fontId="7" fillId="0" borderId="2" xfId="53" applyFont="1" applyFill="1" applyBorder="1" applyAlignment="1">
      <alignment vertical="center" wrapText="1"/>
    </xf>
    <xf numFmtId="2" fontId="7" fillId="0" borderId="17"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7" fillId="0" borderId="2" xfId="0" applyFont="1" applyFill="1" applyBorder="1" applyAlignment="1">
      <alignment horizontal="right" vertical="center" wrapText="1"/>
    </xf>
    <xf numFmtId="0" fontId="2" fillId="0" borderId="13" xfId="0" applyFont="1" applyFill="1" applyBorder="1" applyAlignment="1">
      <alignment vertical="center"/>
    </xf>
    <xf numFmtId="0" fontId="7" fillId="0" borderId="13" xfId="53" applyFont="1" applyFill="1" applyBorder="1" applyAlignment="1">
      <alignment vertical="center"/>
    </xf>
    <xf numFmtId="0" fontId="13" fillId="0" borderId="18" xfId="0" applyFont="1" applyFill="1" applyBorder="1" applyAlignment="1">
      <alignment horizontal="distributed" vertical="center"/>
    </xf>
    <xf numFmtId="0" fontId="13" fillId="0" borderId="19" xfId="0" applyFont="1" applyFill="1" applyBorder="1" applyAlignment="1">
      <alignment horizontal="right" vertical="center"/>
    </xf>
    <xf numFmtId="0" fontId="13" fillId="0" borderId="19" xfId="0" applyFont="1" applyFill="1" applyBorder="1" applyAlignment="1">
      <alignment horizontal="right" vertical="center" wrapText="1"/>
    </xf>
    <xf numFmtId="2" fontId="13" fillId="0" borderId="34" xfId="0" applyNumberFormat="1" applyFont="1" applyFill="1" applyBorder="1" applyAlignment="1">
      <alignment horizontal="right" vertical="center"/>
    </xf>
    <xf numFmtId="9" fontId="0" fillId="0" borderId="0" xfId="0" applyNumberFormat="1" applyFont="1" applyFill="1" applyAlignment="1">
      <alignment vertical="center" wrapText="1"/>
    </xf>
    <xf numFmtId="0" fontId="33" fillId="0" borderId="0" xfId="0" applyFont="1" applyFill="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xf numFmtId="176" fontId="7" fillId="0" borderId="0" xfId="0" applyNumberFormat="1" applyFont="1" applyFill="1" applyAlignment="1"/>
    <xf numFmtId="0" fontId="12"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6" fillId="0" borderId="0" xfId="0" applyFont="1" applyFill="1" applyAlignment="1">
      <alignment horizontal="center" vertical="center" wrapTex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right" vertical="center" wrapText="1"/>
    </xf>
    <xf numFmtId="180" fontId="8" fillId="0" borderId="2" xfId="0" applyNumberFormat="1" applyFont="1" applyFill="1" applyBorder="1" applyAlignment="1">
      <alignment horizontal="right" vertical="center" wrapText="1"/>
    </xf>
    <xf numFmtId="0" fontId="21"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4" fillId="0" borderId="0" xfId="0" applyFont="1" applyFill="1" applyAlignment="1">
      <alignment horizontal="right" vertical="center" wrapText="1"/>
    </xf>
    <xf numFmtId="0" fontId="4" fillId="0" borderId="23" xfId="0" applyFont="1" applyFill="1" applyBorder="1" applyAlignment="1">
      <alignment horizontal="center" vertical="center" wrapText="1"/>
    </xf>
    <xf numFmtId="180" fontId="4" fillId="0"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2" xfId="0" applyFont="1" applyFill="1" applyBorder="1"/>
    <xf numFmtId="0" fontId="0" fillId="0" borderId="2" xfId="0" applyFill="1" applyBorder="1"/>
    <xf numFmtId="0" fontId="13" fillId="0" borderId="0" xfId="0" applyFont="1" applyFill="1" applyAlignment="1">
      <alignment horizontal="right" vertical="center"/>
    </xf>
    <xf numFmtId="0" fontId="7" fillId="0" borderId="0" xfId="0" applyFont="1" applyFill="1"/>
    <xf numFmtId="0" fontId="13" fillId="0" borderId="0" xfId="0" applyFont="1" applyFill="1"/>
    <xf numFmtId="43" fontId="0" fillId="0" borderId="0" xfId="0" applyNumberFormat="1" applyFont="1" applyFill="1"/>
    <xf numFmtId="0" fontId="12" fillId="0" borderId="2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181" fontId="13" fillId="0" borderId="2" xfId="1" applyNumberFormat="1" applyFont="1" applyFill="1" applyBorder="1" applyAlignment="1">
      <alignment vertical="center"/>
    </xf>
    <xf numFmtId="181" fontId="7" fillId="0" borderId="2" xfId="1" applyNumberFormat="1" applyFont="1" applyFill="1" applyBorder="1" applyAlignment="1">
      <alignment vertical="center"/>
    </xf>
    <xf numFmtId="177" fontId="13" fillId="0" borderId="2" xfId="1" applyNumberFormat="1" applyFont="1" applyFill="1" applyBorder="1" applyAlignment="1">
      <alignment vertical="center"/>
    </xf>
    <xf numFmtId="182" fontId="0" fillId="0" borderId="2" xfId="0" applyNumberFormat="1" applyFont="1" applyFill="1" applyBorder="1" applyAlignment="1">
      <alignment horizontal="center" vertical="center"/>
    </xf>
    <xf numFmtId="43" fontId="0" fillId="0" borderId="2" xfId="0" applyNumberFormat="1" applyFont="1" applyFill="1" applyBorder="1"/>
    <xf numFmtId="0" fontId="14" fillId="0" borderId="0" xfId="0" applyFont="1" applyFill="1"/>
    <xf numFmtId="0" fontId="8" fillId="0" borderId="0" xfId="0" applyFont="1" applyFill="1"/>
    <xf numFmtId="0" fontId="34" fillId="0" borderId="0" xfId="0" applyFont="1" applyFill="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7" xfId="0" applyFont="1" applyFill="1" applyBorder="1" applyAlignment="1">
      <alignment horizontal="center" wrapText="1"/>
    </xf>
    <xf numFmtId="0" fontId="8" fillId="5" borderId="7" xfId="0" applyFont="1" applyFill="1" applyBorder="1" applyAlignment="1">
      <alignment horizontal="center" vertical="center"/>
    </xf>
    <xf numFmtId="3" fontId="8" fillId="0" borderId="2" xfId="0" applyNumberFormat="1" applyFont="1" applyFill="1" applyBorder="1" applyAlignment="1" applyProtection="1">
      <alignment vertical="center"/>
    </xf>
    <xf numFmtId="3" fontId="8" fillId="0" borderId="2" xfId="0" applyNumberFormat="1" applyFont="1" applyFill="1" applyBorder="1" applyAlignment="1" applyProtection="1">
      <alignment horizontal="left" vertical="center"/>
    </xf>
    <xf numFmtId="0" fontId="8" fillId="0" borderId="0" xfId="0" applyFont="1" applyFill="1" applyAlignment="1">
      <alignment horizontal="center" vertical="center"/>
    </xf>
    <xf numFmtId="0" fontId="10" fillId="0" borderId="0" xfId="0" applyFont="1" applyFill="1" applyAlignment="1">
      <alignment shrinkToFit="1"/>
    </xf>
    <xf numFmtId="177" fontId="10" fillId="0" borderId="0" xfId="0" applyNumberFormat="1" applyFont="1" applyFill="1" applyAlignment="1">
      <alignment horizontal="right"/>
    </xf>
    <xf numFmtId="0" fontId="16" fillId="0" borderId="0" xfId="56" applyFont="1" applyFill="1" applyAlignment="1">
      <alignment horizontal="center" vertical="center" shrinkToFit="1"/>
    </xf>
    <xf numFmtId="0" fontId="16" fillId="0" borderId="0" xfId="56" applyFont="1" applyFill="1" applyAlignment="1">
      <alignment horizontal="center" vertical="center"/>
    </xf>
    <xf numFmtId="0" fontId="17" fillId="0" borderId="0" xfId="56" applyFont="1" applyFill="1" applyAlignment="1">
      <alignment vertical="center" shrinkToFit="1"/>
    </xf>
    <xf numFmtId="177" fontId="17" fillId="0" borderId="0" xfId="56" applyNumberFormat="1" applyFont="1" applyFill="1" applyAlignment="1">
      <alignment horizontal="right" vertical="center"/>
    </xf>
    <xf numFmtId="177" fontId="0" fillId="0" borderId="0" xfId="56" applyNumberFormat="1" applyFont="1" applyFill="1" applyAlignment="1">
      <alignment horizontal="right" vertical="center"/>
    </xf>
    <xf numFmtId="0" fontId="0" fillId="0" borderId="0" xfId="56" applyFont="1" applyFill="1" applyAlignment="1">
      <alignment vertical="center"/>
    </xf>
    <xf numFmtId="0" fontId="21" fillId="0" borderId="21" xfId="56" applyFont="1" applyFill="1" applyBorder="1" applyAlignment="1">
      <alignment horizontal="center" vertical="center" shrinkToFit="1"/>
    </xf>
    <xf numFmtId="177" fontId="21" fillId="0" borderId="22" xfId="56" applyNumberFormat="1" applyFont="1" applyFill="1" applyBorder="1" applyAlignment="1">
      <alignment horizontal="center" vertical="center"/>
    </xf>
    <xf numFmtId="177" fontId="21" fillId="0" borderId="22" xfId="56" applyNumberFormat="1" applyFont="1" applyFill="1" applyBorder="1" applyAlignment="1">
      <alignment horizontal="right" vertical="center"/>
    </xf>
    <xf numFmtId="0" fontId="21" fillId="0" borderId="22" xfId="56" applyFont="1" applyFill="1" applyBorder="1" applyAlignment="1">
      <alignment horizontal="distributed" vertical="center"/>
    </xf>
    <xf numFmtId="0" fontId="21" fillId="0" borderId="21" xfId="56" applyFont="1" applyFill="1" applyBorder="1" applyAlignment="1">
      <alignment horizontal="center" vertical="center"/>
    </xf>
    <xf numFmtId="0" fontId="21" fillId="0" borderId="7" xfId="56" applyFont="1" applyFill="1" applyBorder="1" applyAlignment="1">
      <alignment horizontal="center" vertical="center" shrinkToFit="1"/>
    </xf>
    <xf numFmtId="177" fontId="21" fillId="0" borderId="7" xfId="56" applyNumberFormat="1" applyFont="1" applyFill="1" applyBorder="1" applyAlignment="1">
      <alignment horizontal="right" vertical="center"/>
    </xf>
    <xf numFmtId="177" fontId="21" fillId="0" borderId="2" xfId="0" applyNumberFormat="1" applyFont="1" applyFill="1" applyBorder="1" applyAlignment="1">
      <alignment horizontal="right" vertical="center" wrapText="1"/>
    </xf>
    <xf numFmtId="0" fontId="21" fillId="0" borderId="7" xfId="0" applyFont="1" applyFill="1" applyBorder="1" applyAlignment="1">
      <alignment horizontal="center" vertical="center" wrapText="1"/>
    </xf>
    <xf numFmtId="0" fontId="21" fillId="0" borderId="7" xfId="56" applyFont="1" applyFill="1" applyBorder="1" applyAlignment="1">
      <alignment horizontal="distributed" vertical="center"/>
    </xf>
    <xf numFmtId="0" fontId="8" fillId="0" borderId="2" xfId="0" applyNumberFormat="1" applyFont="1" applyFill="1" applyBorder="1" applyAlignment="1" applyProtection="1">
      <alignment vertical="center" shrinkToFit="1"/>
    </xf>
    <xf numFmtId="3" fontId="2" fillId="0" borderId="2" xfId="56" applyNumberFormat="1" applyFont="1" applyFill="1" applyBorder="1" applyAlignment="1" applyProtection="1">
      <alignment horizontal="right" vertical="center"/>
    </xf>
    <xf numFmtId="180" fontId="2" fillId="0" borderId="2" xfId="54" applyNumberFormat="1" applyFont="1" applyFill="1" applyBorder="1" applyAlignment="1">
      <alignment horizontal="right" vertical="center"/>
    </xf>
    <xf numFmtId="0" fontId="21" fillId="0" borderId="7" xfId="56" applyFont="1" applyFill="1" applyBorder="1" applyAlignment="1">
      <alignment horizontal="right" vertical="center"/>
    </xf>
    <xf numFmtId="0" fontId="21" fillId="0" borderId="2" xfId="56" applyFont="1" applyFill="1" applyBorder="1" applyAlignment="1">
      <alignment horizontal="right" vertical="center"/>
    </xf>
    <xf numFmtId="0" fontId="4" fillId="0" borderId="2" xfId="0" applyNumberFormat="1" applyFont="1" applyFill="1" applyBorder="1" applyAlignment="1" applyProtection="1">
      <alignment vertical="center" shrinkToFit="1"/>
    </xf>
    <xf numFmtId="0" fontId="2" fillId="0" borderId="2" xfId="56" applyFont="1" applyFill="1" applyBorder="1" applyAlignment="1">
      <alignment horizontal="right" vertical="center"/>
    </xf>
    <xf numFmtId="0" fontId="20" fillId="0" borderId="2" xfId="0" applyFont="1" applyFill="1" applyBorder="1" applyAlignment="1">
      <alignment horizontal="right"/>
    </xf>
    <xf numFmtId="0" fontId="2" fillId="0" borderId="2" xfId="0" applyFont="1" applyFill="1" applyBorder="1" applyAlignment="1">
      <alignment horizontal="right" vertical="center"/>
    </xf>
    <xf numFmtId="3" fontId="2" fillId="0" borderId="2" xfId="56" applyNumberFormat="1" applyFont="1" applyFill="1" applyBorder="1" applyAlignment="1" applyProtection="1">
      <alignment horizontal="left" vertical="center"/>
    </xf>
    <xf numFmtId="0" fontId="2" fillId="0" borderId="2" xfId="56" applyFont="1" applyFill="1" applyBorder="1" applyAlignment="1">
      <alignment horizontal="left" vertical="center"/>
    </xf>
    <xf numFmtId="180" fontId="21" fillId="0" borderId="2" xfId="54" applyNumberFormat="1" applyFont="1" applyFill="1" applyBorder="1" applyAlignment="1">
      <alignment horizontal="right" vertical="center"/>
    </xf>
    <xf numFmtId="3" fontId="8" fillId="0" borderId="2" xfId="0" applyNumberFormat="1" applyFont="1" applyFill="1" applyBorder="1" applyAlignment="1" applyProtection="1">
      <alignment horizontal="right" vertical="center"/>
    </xf>
    <xf numFmtId="3" fontId="4" fillId="0" borderId="6" xfId="0" applyNumberFormat="1" applyFont="1" applyFill="1" applyBorder="1" applyAlignment="1" applyProtection="1">
      <alignment horizontal="right" vertical="center"/>
    </xf>
    <xf numFmtId="3" fontId="4" fillId="0" borderId="7" xfId="0" applyNumberFormat="1" applyFont="1" applyFill="1" applyBorder="1" applyAlignment="1" applyProtection="1">
      <alignment horizontal="right" vertical="center"/>
    </xf>
    <xf numFmtId="3" fontId="21" fillId="0" borderId="2" xfId="56" applyNumberFormat="1" applyFont="1" applyFill="1" applyBorder="1" applyAlignment="1" applyProtection="1">
      <alignment horizontal="right" vertical="center"/>
    </xf>
    <xf numFmtId="3" fontId="21" fillId="0" borderId="2" xfId="56" applyNumberFormat="1" applyFont="1" applyFill="1" applyBorder="1" applyAlignment="1">
      <alignment horizontal="right" vertical="center"/>
    </xf>
    <xf numFmtId="0" fontId="22" fillId="0" borderId="2" xfId="56" applyFont="1" applyFill="1" applyBorder="1" applyAlignment="1">
      <alignment horizontal="right" vertical="center"/>
    </xf>
    <xf numFmtId="0" fontId="35" fillId="0" borderId="2" xfId="56" applyFont="1" applyFill="1" applyBorder="1" applyAlignment="1">
      <alignment horizontal="right" vertical="center"/>
    </xf>
    <xf numFmtId="0" fontId="8" fillId="0" borderId="21" xfId="0" applyNumberFormat="1" applyFont="1" applyFill="1" applyBorder="1" applyAlignment="1" applyProtection="1">
      <alignment vertical="center" shrinkToFit="1"/>
    </xf>
    <xf numFmtId="0" fontId="21" fillId="0" borderId="2" xfId="56" applyFont="1" applyFill="1" applyBorder="1" applyAlignment="1">
      <alignment horizontal="left" vertical="center"/>
    </xf>
    <xf numFmtId="177" fontId="7" fillId="0" borderId="1" xfId="56" applyNumberFormat="1" applyFont="1" applyFill="1" applyBorder="1" applyAlignment="1">
      <alignment horizontal="right" vertical="center"/>
    </xf>
    <xf numFmtId="0" fontId="21" fillId="0" borderId="23" xfId="56" applyFont="1" applyFill="1" applyBorder="1" applyAlignment="1">
      <alignment horizontal="center" vertical="center"/>
    </xf>
    <xf numFmtId="0" fontId="5" fillId="0" borderId="24" xfId="0" applyFont="1" applyFill="1" applyBorder="1" applyAlignment="1">
      <alignment horizontal="center" vertical="center"/>
    </xf>
    <xf numFmtId="0" fontId="21" fillId="0" borderId="2" xfId="0" applyFont="1" applyFill="1" applyBorder="1" applyAlignment="1">
      <alignment horizontal="center" vertical="center" wrapText="1"/>
    </xf>
    <xf numFmtId="180" fontId="21" fillId="0" borderId="2" xfId="54" applyNumberFormat="1" applyFont="1" applyFill="1" applyBorder="1" applyAlignment="1">
      <alignment vertical="center"/>
    </xf>
    <xf numFmtId="180" fontId="2" fillId="0" borderId="2" xfId="54" applyNumberFormat="1" applyFont="1" applyFill="1" applyBorder="1" applyAlignment="1">
      <alignment vertical="center"/>
    </xf>
    <xf numFmtId="0" fontId="2" fillId="0" borderId="2" xfId="56" applyFont="1" applyFill="1" applyBorder="1" applyAlignment="1">
      <alignment vertical="center"/>
    </xf>
    <xf numFmtId="0" fontId="21" fillId="0" borderId="26"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37" xfId="56" applyFont="1" applyFill="1" applyBorder="1" applyAlignment="1">
      <alignment horizontal="right" vertical="center"/>
    </xf>
    <xf numFmtId="0" fontId="20" fillId="0" borderId="2" xfId="0" applyFont="1" applyFill="1" applyBorder="1"/>
    <xf numFmtId="0" fontId="20" fillId="0" borderId="26" xfId="0" applyFont="1" applyFill="1" applyBorder="1"/>
    <xf numFmtId="0" fontId="20" fillId="0" borderId="38" xfId="0" applyFont="1" applyFill="1" applyBorder="1"/>
    <xf numFmtId="0" fontId="21" fillId="0" borderId="21" xfId="56" applyFont="1" applyFill="1" applyBorder="1" applyAlignment="1">
      <alignment horizontal="right" vertical="center"/>
    </xf>
    <xf numFmtId="3" fontId="8" fillId="0" borderId="21" xfId="0" applyNumberFormat="1" applyFont="1" applyFill="1" applyBorder="1" applyAlignment="1" applyProtection="1">
      <alignment horizontal="right" vertical="center"/>
    </xf>
    <xf numFmtId="3" fontId="21" fillId="0" borderId="21" xfId="56" applyNumberFormat="1" applyFont="1" applyFill="1" applyBorder="1" applyAlignment="1" applyProtection="1">
      <alignment horizontal="right" vertical="center"/>
    </xf>
    <xf numFmtId="3" fontId="21" fillId="0" borderId="21" xfId="56" applyNumberFormat="1" applyFont="1" applyFill="1" applyBorder="1" applyAlignment="1">
      <alignment horizontal="right" vertical="center"/>
    </xf>
    <xf numFmtId="0" fontId="35" fillId="0" borderId="21" xfId="56" applyFont="1" applyFill="1" applyBorder="1" applyAlignment="1">
      <alignment horizontal="right" vertical="center"/>
    </xf>
    <xf numFmtId="3" fontId="2" fillId="0" borderId="2" xfId="56" applyNumberFormat="1" applyFont="1" applyFill="1" applyBorder="1" applyAlignment="1" applyProtection="1">
      <alignment vertical="center" shrinkToFit="1"/>
    </xf>
    <xf numFmtId="177" fontId="2" fillId="0" borderId="2" xfId="56" applyNumberFormat="1" applyFont="1" applyFill="1" applyBorder="1" applyAlignment="1" applyProtection="1">
      <alignment horizontal="right" vertical="center"/>
    </xf>
    <xf numFmtId="177" fontId="2" fillId="0" borderId="2" xfId="56" applyNumberFormat="1" applyFont="1" applyFill="1" applyBorder="1" applyAlignment="1">
      <alignment horizontal="right" vertical="center"/>
    </xf>
    <xf numFmtId="0" fontId="4" fillId="0" borderId="39" xfId="0" applyFont="1" applyFill="1" applyBorder="1" applyAlignment="1">
      <alignment horizontal="left" vertical="center"/>
    </xf>
    <xf numFmtId="0" fontId="8" fillId="0" borderId="39" xfId="0" applyFont="1" applyFill="1" applyBorder="1" applyAlignment="1">
      <alignment horizontal="left" vertical="center"/>
    </xf>
    <xf numFmtId="0" fontId="2" fillId="0" borderId="7" xfId="56" applyFont="1" applyFill="1" applyBorder="1" applyAlignment="1">
      <alignment horizontal="right" vertical="center"/>
    </xf>
    <xf numFmtId="0" fontId="36" fillId="0" borderId="2" xfId="0" applyFont="1" applyFill="1" applyBorder="1" applyAlignment="1">
      <alignment horizontal="left" vertical="center"/>
    </xf>
    <xf numFmtId="0" fontId="29" fillId="0" borderId="2" xfId="0" applyFont="1" applyFill="1" applyBorder="1" applyAlignment="1">
      <alignment horizontal="left" vertical="center"/>
    </xf>
    <xf numFmtId="0" fontId="21" fillId="0" borderId="2" xfId="56" applyFont="1" applyFill="1" applyBorder="1" applyAlignment="1">
      <alignment horizontal="distributed" vertical="center" shrinkToFit="1"/>
    </xf>
    <xf numFmtId="177" fontId="21" fillId="0" borderId="21" xfId="56" applyNumberFormat="1" applyFont="1" applyFill="1" applyBorder="1" applyAlignment="1">
      <alignment horizontal="right" vertical="center"/>
    </xf>
    <xf numFmtId="0" fontId="21" fillId="0" borderId="2" xfId="56" applyFont="1" applyFill="1" applyBorder="1" applyAlignment="1">
      <alignment horizontal="distributed" vertical="center"/>
    </xf>
    <xf numFmtId="0" fontId="21" fillId="0" borderId="2" xfId="56" applyFont="1" applyFill="1" applyBorder="1" applyAlignment="1">
      <alignment vertical="center" shrinkToFit="1"/>
    </xf>
    <xf numFmtId="177" fontId="21" fillId="0" borderId="2" xfId="56" applyNumberFormat="1" applyFont="1" applyFill="1" applyBorder="1" applyAlignment="1">
      <alignment horizontal="right" vertical="center"/>
    </xf>
    <xf numFmtId="0" fontId="21" fillId="0" borderId="2" xfId="56" applyFont="1" applyFill="1" applyBorder="1" applyAlignment="1">
      <alignment vertical="center"/>
    </xf>
    <xf numFmtId="0" fontId="2" fillId="0" borderId="2" xfId="56" applyFont="1" applyFill="1" applyBorder="1" applyAlignment="1">
      <alignment vertical="center" shrinkToFit="1"/>
    </xf>
    <xf numFmtId="0" fontId="4" fillId="0" borderId="21" xfId="0" applyFont="1" applyFill="1" applyBorder="1" applyAlignment="1">
      <alignment horizontal="right" vertical="center"/>
    </xf>
    <xf numFmtId="177" fontId="4" fillId="0" borderId="21" xfId="0" applyNumberFormat="1" applyFont="1" applyFill="1" applyBorder="1" applyAlignment="1">
      <alignment horizontal="right" vertical="center"/>
    </xf>
    <xf numFmtId="0" fontId="21" fillId="0" borderId="2" xfId="56" applyFont="1" applyFill="1" applyBorder="1" applyAlignment="1">
      <alignment horizontal="left" vertical="center" shrinkToFit="1"/>
    </xf>
    <xf numFmtId="0" fontId="2" fillId="0" borderId="2" xfId="56" applyFont="1" applyFill="1" applyBorder="1" applyAlignment="1">
      <alignment horizontal="left" vertical="center" shrinkToFit="1"/>
    </xf>
    <xf numFmtId="177" fontId="21" fillId="0" borderId="40" xfId="56" applyNumberFormat="1" applyFont="1" applyFill="1" applyBorder="1" applyAlignment="1">
      <alignment horizontal="right" vertical="center"/>
    </xf>
    <xf numFmtId="0" fontId="20" fillId="0" borderId="41" xfId="0" applyFont="1" applyFill="1" applyBorder="1"/>
    <xf numFmtId="0" fontId="8" fillId="0" borderId="0" xfId="0" applyNumberFormat="1" applyFont="1" applyFill="1" applyAlignment="1" applyProtection="1">
      <alignment horizontal="center" vertical="center"/>
    </xf>
    <xf numFmtId="0" fontId="4" fillId="0" borderId="1" xfId="0" applyNumberFormat="1" applyFont="1" applyFill="1" applyBorder="1" applyAlignment="1" applyProtection="1">
      <alignment horizontal="left" vertical="center"/>
    </xf>
    <xf numFmtId="0" fontId="8" fillId="0" borderId="7" xfId="0" applyNumberFormat="1" applyFont="1" applyFill="1" applyBorder="1" applyAlignment="1" applyProtection="1">
      <alignment horizontal="center" vertical="center"/>
    </xf>
    <xf numFmtId="0" fontId="8" fillId="0" borderId="37"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1" fontId="8" fillId="0" borderId="7"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 fontId="8" fillId="0" borderId="6"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top"/>
    </xf>
    <xf numFmtId="0" fontId="8" fillId="0" borderId="21"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left" vertical="center"/>
    </xf>
    <xf numFmtId="0" fontId="8" fillId="0" borderId="21" xfId="0" applyNumberFormat="1" applyFont="1" applyFill="1" applyBorder="1" applyAlignment="1" applyProtection="1">
      <alignment vertical="center"/>
    </xf>
    <xf numFmtId="3" fontId="4" fillId="0" borderId="2" xfId="0" applyNumberFormat="1" applyFont="1" applyFill="1" applyBorder="1" applyAlignment="1" applyProtection="1">
      <alignment horizontal="right" vertical="center" wrapText="1"/>
    </xf>
    <xf numFmtId="1" fontId="4" fillId="0" borderId="2" xfId="0" applyNumberFormat="1" applyFont="1" applyFill="1" applyBorder="1" applyAlignment="1" applyProtection="1">
      <alignment horizontal="right" vertical="center" wrapText="1"/>
    </xf>
    <xf numFmtId="1" fontId="4" fillId="0" borderId="2" xfId="0" applyNumberFormat="1"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2" fillId="0" borderId="2" xfId="0" applyFont="1" applyFill="1" applyBorder="1" applyAlignment="1">
      <alignment vertical="center"/>
    </xf>
    <xf numFmtId="0" fontId="22" fillId="0" borderId="2" xfId="0" applyFont="1" applyFill="1" applyBorder="1" applyAlignment="1">
      <alignment vertical="center"/>
    </xf>
    <xf numFmtId="0" fontId="8" fillId="0" borderId="20" xfId="0" applyNumberFormat="1" applyFont="1" applyFill="1" applyBorder="1" applyAlignment="1" applyProtection="1">
      <alignment horizontal="center" vertical="center" wrapText="1"/>
    </xf>
    <xf numFmtId="3" fontId="8" fillId="0" borderId="24" xfId="0" applyNumberFormat="1" applyFont="1" applyFill="1" applyBorder="1" applyAlignment="1" applyProtection="1">
      <alignment horizontal="right" vertical="center"/>
    </xf>
    <xf numFmtId="3" fontId="4" fillId="0" borderId="21" xfId="0" applyNumberFormat="1" applyFont="1" applyFill="1" applyBorder="1" applyAlignment="1" applyProtection="1">
      <alignment horizontal="right" vertical="center" wrapText="1"/>
    </xf>
    <xf numFmtId="0" fontId="10" fillId="0" borderId="2" xfId="0" applyFont="1" applyFill="1" applyBorder="1"/>
    <xf numFmtId="3" fontId="4" fillId="0" borderId="23" xfId="0" applyNumberFormat="1" applyFont="1" applyFill="1" applyBorder="1" applyAlignment="1" applyProtection="1">
      <alignment horizontal="right" vertical="center"/>
    </xf>
    <xf numFmtId="3" fontId="4" fillId="5" borderId="2" xfId="0" applyNumberFormat="1" applyFont="1" applyFill="1" applyBorder="1" applyAlignment="1" applyProtection="1">
      <alignment horizontal="right" vertical="center"/>
    </xf>
    <xf numFmtId="0" fontId="8" fillId="0" borderId="16"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xf>
    <xf numFmtId="49" fontId="4" fillId="0" borderId="21" xfId="0" applyNumberFormat="1" applyFont="1" applyFill="1" applyBorder="1" applyAlignment="1" applyProtection="1">
      <alignment horizontal="left" vertical="center"/>
    </xf>
    <xf numFmtId="0" fontId="4" fillId="0" borderId="37" xfId="0" applyNumberFormat="1" applyFont="1" applyFill="1" applyBorder="1" applyAlignment="1" applyProtection="1">
      <alignment vertical="center"/>
    </xf>
    <xf numFmtId="3" fontId="4" fillId="0" borderId="21" xfId="0" applyNumberFormat="1" applyFont="1" applyFill="1" applyBorder="1" applyAlignment="1" applyProtection="1">
      <alignment horizontal="right" vertical="center"/>
    </xf>
    <xf numFmtId="3" fontId="8" fillId="0" borderId="7" xfId="0" applyNumberFormat="1" applyFont="1" applyFill="1" applyBorder="1" applyAlignment="1" applyProtection="1">
      <alignment horizontal="right" vertical="center"/>
    </xf>
    <xf numFmtId="3" fontId="8" fillId="0" borderId="2" xfId="0" applyNumberFormat="1" applyFont="1" applyFill="1" applyBorder="1" applyAlignment="1" applyProtection="1">
      <alignment horizontal="right" vertical="center" wrapText="1"/>
    </xf>
    <xf numFmtId="1" fontId="8" fillId="0" borderId="2" xfId="0" applyNumberFormat="1" applyFont="1" applyFill="1" applyBorder="1" applyAlignment="1" applyProtection="1">
      <alignment horizontal="right" vertical="center" wrapText="1"/>
    </xf>
    <xf numFmtId="0" fontId="8" fillId="0" borderId="21" xfId="0" applyNumberFormat="1" applyFont="1" applyFill="1" applyBorder="1" applyAlignment="1" applyProtection="1">
      <alignment horizontal="left" vertical="center"/>
    </xf>
    <xf numFmtId="0" fontId="21" fillId="0" borderId="0" xfId="0" applyFont="1" applyFill="1" applyAlignment="1">
      <alignment vertical="center"/>
    </xf>
    <xf numFmtId="0" fontId="22" fillId="0" borderId="0" xfId="0" applyFont="1" applyFill="1" applyAlignment="1">
      <alignment vertical="center"/>
    </xf>
    <xf numFmtId="0" fontId="12" fillId="0" borderId="0" xfId="0" applyFont="1" applyAlignment="1">
      <alignment vertical="center"/>
    </xf>
    <xf numFmtId="0" fontId="7" fillId="0" borderId="0" xfId="0" applyFont="1" applyFill="1" applyAlignment="1">
      <alignment horizontal="right" vertical="center"/>
    </xf>
    <xf numFmtId="0" fontId="21" fillId="0" borderId="2" xfId="0" applyFont="1" applyFill="1" applyBorder="1" applyAlignment="1">
      <alignment vertical="center"/>
    </xf>
    <xf numFmtId="180" fontId="21" fillId="0" borderId="2" xfId="53" applyNumberFormat="1" applyFont="1" applyFill="1" applyBorder="1" applyAlignment="1">
      <alignment vertical="center"/>
    </xf>
    <xf numFmtId="177" fontId="2" fillId="0" borderId="2" xfId="0" applyNumberFormat="1" applyFont="1" applyFill="1" applyBorder="1" applyAlignment="1" applyProtection="1">
      <alignment horizontal="left" vertical="center"/>
      <protection locked="0"/>
    </xf>
    <xf numFmtId="180" fontId="2" fillId="0" borderId="2" xfId="53" applyNumberFormat="1" applyFont="1" applyFill="1" applyBorder="1" applyAlignment="1">
      <alignment vertical="center"/>
    </xf>
    <xf numFmtId="179" fontId="2" fillId="0" borderId="2"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177" fontId="22" fillId="0" borderId="2" xfId="0" applyNumberFormat="1" applyFont="1" applyFill="1" applyBorder="1" applyAlignment="1" applyProtection="1">
      <alignment horizontal="left" vertical="center"/>
      <protection locked="0"/>
    </xf>
    <xf numFmtId="1" fontId="22" fillId="0" borderId="2" xfId="0" applyNumberFormat="1" applyFont="1" applyFill="1" applyBorder="1" applyAlignment="1">
      <alignment vertical="center"/>
    </xf>
    <xf numFmtId="0" fontId="2" fillId="0" borderId="2" xfId="0" applyFont="1" applyFill="1" applyBorder="1" applyAlignment="1">
      <alignment horizontal="left" vertical="center"/>
    </xf>
    <xf numFmtId="1" fontId="2" fillId="0" borderId="2" xfId="0" applyNumberFormat="1" applyFont="1" applyFill="1" applyBorder="1" applyAlignment="1">
      <alignment horizontal="right" vertical="center"/>
    </xf>
    <xf numFmtId="0" fontId="21" fillId="0" borderId="2" xfId="0" applyFont="1" applyFill="1" applyBorder="1" applyAlignment="1">
      <alignment horizontal="left" vertical="center"/>
    </xf>
    <xf numFmtId="1" fontId="21" fillId="0" borderId="2" xfId="0" applyNumberFormat="1" applyFont="1" applyFill="1" applyBorder="1" applyAlignment="1">
      <alignment vertical="center"/>
    </xf>
    <xf numFmtId="0" fontId="21" fillId="0" borderId="2" xfId="0" applyFont="1" applyFill="1" applyBorder="1" applyAlignment="1">
      <alignment horizontal="distributed" vertical="center"/>
    </xf>
    <xf numFmtId="1" fontId="0" fillId="0" borderId="0" xfId="0" applyNumberFormat="1" applyFont="1" applyFill="1" applyAlignment="1">
      <alignment vertical="center"/>
    </xf>
    <xf numFmtId="0" fontId="12" fillId="0" borderId="0" xfId="0" applyFont="1" applyFill="1" applyAlignment="1">
      <alignment horizontal="fill" vertical="center"/>
    </xf>
    <xf numFmtId="0" fontId="5" fillId="0" borderId="22" xfId="55" applyFont="1" applyFill="1" applyBorder="1" applyAlignment="1">
      <alignment horizontal="center" vertical="center"/>
    </xf>
    <xf numFmtId="0" fontId="8" fillId="0" borderId="2" xfId="55" applyFont="1" applyFill="1" applyBorder="1" applyAlignment="1">
      <alignment horizontal="center" vertical="center"/>
    </xf>
    <xf numFmtId="0" fontId="8" fillId="0" borderId="2" xfId="55" applyFont="1" applyFill="1" applyBorder="1" applyAlignment="1">
      <alignment horizontal="center" vertical="center" wrapText="1"/>
    </xf>
    <xf numFmtId="3" fontId="4" fillId="7" borderId="16" xfId="0" applyNumberFormat="1" applyFont="1" applyFill="1" applyBorder="1" applyAlignment="1" applyProtection="1">
      <alignment horizontal="right" vertical="center"/>
    </xf>
    <xf numFmtId="3" fontId="4" fillId="7" borderId="2" xfId="0" applyNumberFormat="1" applyFont="1" applyFill="1" applyBorder="1" applyAlignment="1" applyProtection="1">
      <alignment horizontal="right" vertical="center"/>
    </xf>
    <xf numFmtId="3" fontId="4" fillId="7" borderId="7" xfId="0" applyNumberFormat="1" applyFont="1" applyFill="1" applyBorder="1" applyAlignment="1" applyProtection="1">
      <alignment horizontal="right" vertical="center"/>
    </xf>
    <xf numFmtId="0" fontId="4" fillId="0" borderId="1" xfId="55" applyFont="1" applyFill="1" applyBorder="1" applyAlignment="1">
      <alignment horizontal="center" vertical="center"/>
    </xf>
    <xf numFmtId="0" fontId="4" fillId="0" borderId="1" xfId="55" applyFont="1" applyFill="1" applyBorder="1" applyAlignment="1">
      <alignment vertical="center"/>
    </xf>
    <xf numFmtId="2" fontId="37" fillId="0" borderId="2" xfId="0" applyNumberFormat="1" applyFont="1" applyFill="1" applyBorder="1" applyAlignment="1">
      <alignment vertical="center"/>
    </xf>
    <xf numFmtId="2" fontId="20" fillId="0" borderId="2" xfId="0" applyNumberFormat="1" applyFont="1" applyFill="1" applyBorder="1" applyAlignment="1">
      <alignment vertical="center"/>
    </xf>
    <xf numFmtId="1" fontId="2" fillId="0" borderId="2" xfId="55" applyNumberFormat="1" applyFont="1" applyFill="1" applyBorder="1" applyAlignment="1" applyProtection="1">
      <alignment horizontal="left" vertical="center" wrapText="1"/>
      <protection locked="0"/>
    </xf>
    <xf numFmtId="180" fontId="21" fillId="0" borderId="2" xfId="55" applyNumberFormat="1" applyFont="1" applyFill="1" applyBorder="1" applyAlignment="1">
      <alignment vertical="center"/>
    </xf>
    <xf numFmtId="0" fontId="16" fillId="0" borderId="0" xfId="53" applyFont="1" applyFill="1" applyAlignment="1">
      <alignment horizontal="center" vertical="center"/>
    </xf>
    <xf numFmtId="0" fontId="17" fillId="0" borderId="0" xfId="53" applyFont="1" applyFill="1" applyAlignment="1">
      <alignment vertical="center"/>
    </xf>
    <xf numFmtId="0" fontId="0" fillId="0" borderId="0" xfId="53" applyFont="1" applyFill="1" applyAlignment="1">
      <alignment vertical="center"/>
    </xf>
    <xf numFmtId="0" fontId="0" fillId="0" borderId="1" xfId="53" applyFill="1" applyBorder="1" applyAlignment="1">
      <alignment horizontal="center" vertical="center"/>
    </xf>
    <xf numFmtId="0" fontId="13" fillId="0" borderId="2" xfId="53" applyFont="1" applyFill="1" applyBorder="1" applyAlignment="1">
      <alignment horizontal="center" vertical="center"/>
    </xf>
    <xf numFmtId="0" fontId="13" fillId="0" borderId="2" xfId="53" applyFont="1" applyFill="1" applyBorder="1" applyAlignment="1">
      <alignment horizontal="center" vertical="center" wrapText="1"/>
    </xf>
    <xf numFmtId="0" fontId="13" fillId="0" borderId="2" xfId="53" applyFont="1" applyFill="1" applyBorder="1" applyAlignment="1">
      <alignment vertical="center"/>
    </xf>
    <xf numFmtId="180" fontId="13" fillId="0" borderId="2" xfId="53" applyNumberFormat="1" applyFont="1" applyFill="1" applyBorder="1" applyAlignment="1">
      <alignment vertical="center"/>
    </xf>
    <xf numFmtId="2" fontId="12" fillId="0" borderId="2" xfId="0" applyNumberFormat="1" applyFont="1" applyFill="1" applyBorder="1" applyAlignment="1">
      <alignment vertical="center"/>
    </xf>
    <xf numFmtId="0" fontId="7" fillId="0" borderId="2" xfId="53" applyFont="1" applyFill="1" applyBorder="1" applyAlignment="1">
      <alignment vertical="center"/>
    </xf>
    <xf numFmtId="180" fontId="7" fillId="0" borderId="2" xfId="53" applyNumberFormat="1" applyFont="1" applyFill="1" applyBorder="1" applyAlignment="1">
      <alignment vertical="center"/>
    </xf>
    <xf numFmtId="2" fontId="0" fillId="0" borderId="2" xfId="0" applyNumberFormat="1" applyFont="1" applyFill="1" applyBorder="1" applyAlignment="1">
      <alignment vertical="center"/>
    </xf>
    <xf numFmtId="0" fontId="7" fillId="0" borderId="2" xfId="53" applyFont="1" applyFill="1" applyBorder="1" applyAlignment="1">
      <alignment horizontal="left" vertical="center"/>
    </xf>
    <xf numFmtId="2" fontId="0" fillId="0" borderId="2" xfId="0" applyNumberFormat="1" applyFill="1" applyBorder="1" applyAlignment="1">
      <alignment vertical="center"/>
    </xf>
    <xf numFmtId="0" fontId="13" fillId="0" borderId="2" xfId="53" applyFont="1" applyFill="1" applyBorder="1" applyAlignment="1">
      <alignment horizontal="distributed" vertical="center"/>
    </xf>
    <xf numFmtId="0" fontId="0" fillId="0" borderId="4" xfId="53" applyFill="1" applyBorder="1" applyAlignment="1">
      <alignment horizontal="left" vertical="center" wrapText="1"/>
    </xf>
    <xf numFmtId="0" fontId="0" fillId="0" borderId="4" xfId="53" applyFont="1" applyFill="1" applyBorder="1" applyAlignment="1">
      <alignment horizontal="left" vertical="center" wrapText="1"/>
    </xf>
    <xf numFmtId="0" fontId="38" fillId="0" borderId="0" xfId="0" applyFont="1" applyFill="1" applyAlignment="1">
      <alignment vertical="center"/>
    </xf>
    <xf numFmtId="0" fontId="39" fillId="0" borderId="0" xfId="0" applyFont="1" applyFill="1" applyAlignment="1">
      <alignment horizontal="center" vertical="center"/>
    </xf>
    <xf numFmtId="0" fontId="39" fillId="0" borderId="0" xfId="0" applyFont="1" applyFill="1" applyAlignment="1">
      <alignment vertical="center"/>
    </xf>
    <xf numFmtId="0" fontId="40" fillId="0" borderId="0" xfId="0" applyFont="1" applyFill="1" applyAlignment="1">
      <alignment horizontal="left" vertical="center"/>
    </xf>
    <xf numFmtId="0" fontId="38" fillId="0" borderId="0" xfId="0" applyFont="1" applyFill="1" applyAlignment="1">
      <alignment horizontal="left" vertical="center"/>
    </xf>
    <xf numFmtId="0" fontId="38" fillId="8" borderId="0" xfId="0" applyFont="1" applyFill="1" applyAlignment="1">
      <alignment vertical="center"/>
    </xf>
    <xf numFmtId="0" fontId="40" fillId="0" borderId="0" xfId="0" applyFont="1" applyFill="1" applyAlignment="1">
      <alignment vertical="center"/>
    </xf>
    <xf numFmtId="0" fontId="40" fillId="0" borderId="0" xfId="0" applyFont="1" applyFill="1" applyAlignment="1" quotePrefix="1">
      <alignment horizontal="left" vertical="center"/>
    </xf>
    <xf numFmtId="0" fontId="38" fillId="0" borderId="0" xfId="0" applyFont="1" applyFill="1" applyAlignment="1" quotePrefix="1">
      <alignment horizontal="left" vertical="center"/>
    </xf>
    <xf numFmtId="0" fontId="16" fillId="0" borderId="0" xfId="53" applyFont="1" applyFill="1" applyAlignment="1" quotePrefix="1">
      <alignment horizontal="center" vertical="center"/>
    </xf>
    <xf numFmtId="0" fontId="13" fillId="0" borderId="2" xfId="53" applyFont="1" applyFill="1" applyBorder="1" applyAlignment="1" quotePrefix="1">
      <alignment horizontal="center" vertical="center" wrapText="1"/>
    </xf>
    <xf numFmtId="0" fontId="7" fillId="0" borderId="2" xfId="53" applyFont="1" applyFill="1" applyBorder="1" applyAlignment="1" quotePrefix="1">
      <alignment horizontal="left" vertical="center"/>
    </xf>
    <xf numFmtId="0" fontId="16" fillId="0" borderId="0" xfId="55" applyFont="1" applyFill="1" applyAlignment="1" quotePrefix="1">
      <alignment horizontal="center" vertical="center"/>
    </xf>
    <xf numFmtId="0" fontId="8" fillId="0" borderId="2" xfId="55" applyFont="1" applyFill="1" applyBorder="1" applyAlignment="1" quotePrefix="1">
      <alignment horizontal="center" vertical="center"/>
    </xf>
    <xf numFmtId="0" fontId="8" fillId="0" borderId="2" xfId="55" applyFont="1" applyFill="1" applyBorder="1" applyAlignment="1" quotePrefix="1">
      <alignment horizontal="center" vertical="center" wrapText="1"/>
    </xf>
    <xf numFmtId="1" fontId="2" fillId="0" borderId="2" xfId="55" applyNumberFormat="1" applyFont="1" applyFill="1" applyBorder="1" applyAlignment="1" applyProtection="1" quotePrefix="1">
      <alignment horizontal="left" vertical="center" wrapText="1"/>
      <protection locked="0"/>
    </xf>
    <xf numFmtId="1" fontId="21" fillId="0" borderId="2" xfId="55" applyNumberFormat="1" applyFont="1" applyFill="1" applyBorder="1" applyAlignment="1" applyProtection="1" quotePrefix="1">
      <alignment horizontal="left" vertical="center"/>
      <protection locked="0"/>
    </xf>
    <xf numFmtId="0" fontId="2" fillId="0" borderId="2" xfId="55" applyNumberFormat="1" applyFont="1" applyFill="1" applyBorder="1" applyAlignment="1" applyProtection="1" quotePrefix="1">
      <alignment horizontal="left" vertical="center"/>
      <protection locked="0"/>
    </xf>
    <xf numFmtId="3" fontId="22" fillId="0" borderId="2" xfId="55" applyNumberFormat="1" applyFont="1" applyFill="1" applyBorder="1" applyAlignment="1" applyProtection="1" quotePrefix="1">
      <alignment horizontal="left" vertical="center"/>
    </xf>
    <xf numFmtId="3" fontId="2" fillId="0" borderId="2" xfId="55" applyNumberFormat="1" applyFont="1" applyFill="1" applyBorder="1" applyAlignment="1" applyProtection="1" quotePrefix="1">
      <alignment horizontal="left" vertical="center"/>
    </xf>
    <xf numFmtId="0" fontId="2" fillId="0" borderId="2" xfId="55" applyFont="1" applyFill="1" applyBorder="1" applyAlignment="1" quotePrefix="1">
      <alignment horizontal="left" vertical="center"/>
    </xf>
    <xf numFmtId="1" fontId="21" fillId="0" borderId="2" xfId="0" applyNumberFormat="1" applyFont="1" applyFill="1" applyBorder="1" applyAlignment="1" applyProtection="1" quotePrefix="1">
      <alignment horizontal="left" vertical="center"/>
      <protection locked="0"/>
    </xf>
    <xf numFmtId="0" fontId="4" fillId="0" borderId="2" xfId="0" applyNumberFormat="1" applyFont="1" applyFill="1" applyBorder="1" applyAlignment="1" applyProtection="1" quotePrefix="1">
      <alignment horizontal="left" vertical="center"/>
    </xf>
    <xf numFmtId="1" fontId="2" fillId="0" borderId="2" xfId="55" applyNumberFormat="1" applyFont="1" applyFill="1" applyBorder="1" applyAlignment="1" applyProtection="1" quotePrefix="1">
      <alignment horizontal="left" vertical="center"/>
      <protection locked="0"/>
    </xf>
    <xf numFmtId="0" fontId="16" fillId="0" borderId="0" xfId="0" applyFont="1" applyFill="1" applyAlignment="1" quotePrefix="1">
      <alignment horizontal="center" vertical="center"/>
    </xf>
    <xf numFmtId="0" fontId="8" fillId="0" borderId="2" xfId="0" applyFont="1" applyFill="1" applyBorder="1" applyAlignment="1" quotePrefix="1">
      <alignment horizontal="center" vertical="center" wrapText="1"/>
    </xf>
    <xf numFmtId="0" fontId="2" fillId="0" borderId="2" xfId="0" applyFont="1" applyFill="1" applyBorder="1" applyAlignment="1" quotePrefix="1">
      <alignment horizontal="left" vertical="center"/>
    </xf>
    <xf numFmtId="0" fontId="21" fillId="0" borderId="2" xfId="0" applyFont="1" applyFill="1" applyBorder="1" applyAlignment="1" quotePrefix="1">
      <alignment horizontal="left" vertical="center"/>
    </xf>
    <xf numFmtId="0" fontId="12" fillId="0" borderId="0" xfId="0" applyFont="1" applyFill="1" applyAlignment="1" quotePrefix="1">
      <alignment horizontal="fill" vertical="center"/>
    </xf>
    <xf numFmtId="0" fontId="15" fillId="0" borderId="0" xfId="0" applyNumberFormat="1" applyFont="1" applyFill="1" applyAlignment="1" applyProtection="1" quotePrefix="1">
      <alignment horizontal="center" vertical="center"/>
    </xf>
    <xf numFmtId="0" fontId="8" fillId="0" borderId="20" xfId="0" applyNumberFormat="1" applyFont="1" applyFill="1" applyBorder="1" applyAlignment="1" applyProtection="1" quotePrefix="1">
      <alignment horizontal="center" vertical="center" wrapText="1"/>
    </xf>
    <xf numFmtId="0" fontId="8" fillId="0" borderId="6" xfId="0" applyNumberFormat="1" applyFont="1" applyFill="1" applyBorder="1" applyAlignment="1" applyProtection="1" quotePrefix="1">
      <alignment horizontal="center" vertical="center" wrapText="1"/>
    </xf>
    <xf numFmtId="1" fontId="8" fillId="0" borderId="7" xfId="0" applyNumberFormat="1" applyFont="1" applyFill="1" applyBorder="1" applyAlignment="1" applyProtection="1" quotePrefix="1">
      <alignment horizontal="center" vertical="center" wrapText="1"/>
    </xf>
    <xf numFmtId="0" fontId="8" fillId="0" borderId="7" xfId="0" applyNumberFormat="1" applyFont="1" applyFill="1" applyBorder="1" applyAlignment="1" applyProtection="1" quotePrefix="1">
      <alignment horizontal="center" vertical="center" wrapText="1"/>
    </xf>
    <xf numFmtId="0" fontId="4" fillId="0" borderId="21" xfId="0" applyNumberFormat="1" applyFont="1" applyFill="1" applyBorder="1" applyAlignment="1" applyProtection="1" quotePrefix="1">
      <alignment horizontal="left" vertical="center"/>
    </xf>
    <xf numFmtId="49" fontId="4" fillId="0" borderId="2" xfId="0" applyNumberFormat="1" applyFont="1" applyFill="1" applyBorder="1" applyAlignment="1" applyProtection="1" quotePrefix="1">
      <alignment horizontal="left" vertical="center"/>
    </xf>
    <xf numFmtId="0" fontId="8" fillId="0" borderId="21" xfId="0" applyNumberFormat="1" applyFont="1" applyFill="1" applyBorder="1" applyAlignment="1" applyProtection="1" quotePrefix="1">
      <alignment horizontal="left" vertical="center"/>
    </xf>
    <xf numFmtId="0" fontId="16" fillId="0" borderId="0" xfId="56" applyFont="1" applyFill="1" applyAlignment="1" quotePrefix="1">
      <alignment horizontal="center" vertical="center" shrinkToFit="1"/>
    </xf>
    <xf numFmtId="177" fontId="21" fillId="0" borderId="2" xfId="0" applyNumberFormat="1" applyFont="1" applyFill="1" applyBorder="1" applyAlignment="1" quotePrefix="1">
      <alignment horizontal="right" vertical="center" wrapText="1"/>
    </xf>
    <xf numFmtId="0" fontId="21" fillId="0" borderId="2" xfId="56" applyFont="1" applyFill="1" applyBorder="1" applyAlignment="1" quotePrefix="1">
      <alignment horizontal="left" vertical="center" shrinkToFit="1"/>
    </xf>
    <xf numFmtId="0" fontId="8" fillId="5" borderId="6" xfId="0" applyFont="1" applyFill="1" applyBorder="1" applyAlignment="1" quotePrefix="1">
      <alignment horizontal="center" vertical="center" wrapText="1"/>
    </xf>
    <xf numFmtId="0" fontId="13" fillId="0" borderId="2" xfId="0" applyFont="1" applyFill="1" applyBorder="1" applyAlignment="1" quotePrefix="1">
      <alignment horizontal="center" vertical="center" wrapText="1"/>
    </xf>
    <xf numFmtId="0" fontId="13" fillId="0" borderId="16" xfId="0" applyFont="1" applyFill="1" applyBorder="1" applyAlignment="1" quotePrefix="1">
      <alignment horizontal="left" vertical="center"/>
    </xf>
    <xf numFmtId="0" fontId="7" fillId="0" borderId="2" xfId="0" applyFont="1" applyFill="1" applyBorder="1" applyAlignment="1" quotePrefix="1">
      <alignment horizontal="left" vertical="center"/>
    </xf>
    <xf numFmtId="0" fontId="13" fillId="0" borderId="2" xfId="0" applyFont="1" applyFill="1" applyBorder="1" applyAlignment="1" quotePrefix="1">
      <alignment horizontal="left" vertical="center"/>
    </xf>
    <xf numFmtId="0" fontId="8" fillId="0" borderId="21" xfId="0" applyFont="1" applyFill="1" applyBorder="1" applyAlignment="1" quotePrefix="1">
      <alignment horizontal="center" vertical="center"/>
    </xf>
    <xf numFmtId="0" fontId="8" fillId="0" borderId="3" xfId="0" applyFont="1" applyFill="1" applyBorder="1" applyAlignment="1" quotePrefix="1">
      <alignment horizontal="center" vertical="center"/>
    </xf>
    <xf numFmtId="0" fontId="16" fillId="0" borderId="0" xfId="0" applyFont="1" applyFill="1" applyAlignment="1" quotePrefix="1">
      <alignment horizontal="center" vertical="center" wrapText="1"/>
    </xf>
    <xf numFmtId="0" fontId="4" fillId="0" borderId="2" xfId="0" applyFont="1" applyFill="1" applyBorder="1" applyAlignment="1" quotePrefix="1">
      <alignment horizontal="center" vertical="center" wrapText="1"/>
    </xf>
    <xf numFmtId="0" fontId="4" fillId="0" borderId="21" xfId="0" applyFont="1" applyFill="1" applyBorder="1" applyAlignment="1" quotePrefix="1">
      <alignment horizontal="center" vertical="center" wrapText="1"/>
    </xf>
    <xf numFmtId="0" fontId="8" fillId="0" borderId="2" xfId="0" applyFont="1" applyFill="1" applyBorder="1" applyAlignment="1" quotePrefix="1">
      <alignment horizontal="left" vertical="center" wrapText="1"/>
    </xf>
    <xf numFmtId="0" fontId="33" fillId="0" borderId="0" xfId="0" applyFont="1" applyFill="1" applyAlignment="1" quotePrefix="1">
      <alignment horizontal="center" vertical="center"/>
    </xf>
    <xf numFmtId="0" fontId="12" fillId="0" borderId="32" xfId="0" applyFont="1" applyFill="1" applyBorder="1" applyAlignment="1" quotePrefix="1">
      <alignment horizontal="center" vertical="center" wrapText="1"/>
    </xf>
    <xf numFmtId="0" fontId="12" fillId="0" borderId="33" xfId="0" applyFont="1" applyFill="1" applyBorder="1" applyAlignment="1" quotePrefix="1">
      <alignment horizontal="center" vertical="center" wrapText="1"/>
    </xf>
    <xf numFmtId="0" fontId="7" fillId="0" borderId="13" xfId="0" applyFont="1" applyFill="1" applyBorder="1" applyAlignment="1" quotePrefix="1">
      <alignment horizontal="left" vertical="center"/>
    </xf>
    <xf numFmtId="49" fontId="16" fillId="0" borderId="0" xfId="0" applyNumberFormat="1" applyFont="1" applyFill="1" applyAlignment="1" quotePrefix="1">
      <alignment horizontal="center" vertical="center"/>
    </xf>
    <xf numFmtId="0" fontId="8" fillId="0" borderId="2" xfId="0" applyNumberFormat="1" applyFont="1" applyFill="1" applyBorder="1" applyAlignment="1" quotePrefix="1">
      <alignment horizontal="center" vertical="center"/>
    </xf>
    <xf numFmtId="0" fontId="8" fillId="0" borderId="2" xfId="0" applyFont="1" applyFill="1" applyBorder="1" applyAlignment="1" quotePrefix="1">
      <alignment horizontal="center" vertical="center"/>
    </xf>
    <xf numFmtId="0" fontId="8" fillId="0" borderId="2" xfId="0" applyFont="1" applyFill="1" applyBorder="1" applyAlignment="1" quotePrefix="1">
      <alignment horizontal="left" vertical="center"/>
    </xf>
    <xf numFmtId="177" fontId="4" fillId="0" borderId="2" xfId="0" applyNumberFormat="1" applyFont="1" applyFill="1" applyBorder="1" applyAlignment="1" applyProtection="1" quotePrefix="1">
      <alignment horizontal="left" vertical="center"/>
      <protection locked="0"/>
    </xf>
    <xf numFmtId="179" fontId="8" fillId="2" borderId="2" xfId="0" applyNumberFormat="1" applyFont="1" applyFill="1" applyBorder="1" applyAlignment="1" applyProtection="1" quotePrefix="1">
      <alignment horizontal="left" vertical="center"/>
      <protection locked="0"/>
    </xf>
    <xf numFmtId="49" fontId="4" fillId="0" borderId="2" xfId="0" applyNumberFormat="1" applyFont="1" applyFill="1" applyBorder="1" applyAlignment="1" quotePrefix="1">
      <alignment horizontal="left" vertical="center"/>
    </xf>
    <xf numFmtId="0" fontId="4" fillId="0" borderId="2" xfId="0" applyFont="1" applyFill="1" applyBorder="1" applyAlignment="1" quotePrefix="1">
      <alignment horizontal="left" vertical="center"/>
    </xf>
    <xf numFmtId="0" fontId="23" fillId="0" borderId="0" xfId="0" applyNumberFormat="1" applyFont="1" applyFill="1" applyAlignment="1" applyProtection="1" quotePrefix="1">
      <alignment horizontal="center" vertical="center"/>
    </xf>
    <xf numFmtId="0" fontId="25" fillId="0" borderId="29" xfId="0" applyFont="1" applyFill="1" applyBorder="1" applyAlignment="1" quotePrefix="1">
      <alignment horizontal="left" vertical="center" wrapText="1"/>
    </xf>
    <xf numFmtId="0" fontId="26" fillId="0" borderId="29" xfId="0" applyFont="1" applyFill="1" applyBorder="1" applyAlignment="1" quotePrefix="1">
      <alignment horizontal="center" vertical="center" wrapText="1"/>
    </xf>
    <xf numFmtId="0" fontId="21" fillId="0" borderId="2" xfId="55" applyFont="1" applyFill="1" applyBorder="1" applyAlignment="1" quotePrefix="1">
      <alignment horizontal="center" vertical="center"/>
    </xf>
    <xf numFmtId="0" fontId="8" fillId="0" borderId="6" xfId="0" applyFont="1" applyFill="1" applyBorder="1" applyAlignment="1" quotePrefix="1">
      <alignment horizontal="center" vertical="center" wrapText="1"/>
    </xf>
    <xf numFmtId="0" fontId="8" fillId="0" borderId="24" xfId="0" applyFont="1" applyFill="1" applyBorder="1" applyAlignment="1" quotePrefix="1">
      <alignment horizontal="center" vertical="center" wrapText="1"/>
    </xf>
    <xf numFmtId="0" fontId="11" fillId="0" borderId="0" xfId="0" applyFont="1" applyFill="1" applyAlignment="1" quotePrefix="1">
      <alignment horizontal="center" vertical="center"/>
    </xf>
    <xf numFmtId="0" fontId="9" fillId="0" borderId="0" xfId="0" applyFont="1" applyFill="1" applyBorder="1" applyAlignment="1" quotePrefix="1">
      <alignment horizontal="center" vertical="center"/>
    </xf>
    <xf numFmtId="0" fontId="4" fillId="0" borderId="2" xfId="0" applyFont="1" applyFill="1" applyBorder="1" applyAlignment="1" quotePrefix="1">
      <alignment horizontal="center" vertical="center"/>
    </xf>
    <xf numFmtId="0" fontId="4" fillId="0" borderId="2" xfId="0" applyFont="1" applyBorder="1" applyAlignment="1" quotePrefix="1">
      <alignment horizontal="center" vertical="center"/>
    </xf>
    <xf numFmtId="0" fontId="4" fillId="0" borderId="2" xfId="0" applyFont="1" applyBorder="1" applyAlignment="1" quotePrefix="1">
      <alignment horizontal="center" vertical="center" wrapText="1"/>
    </xf>
    <xf numFmtId="0" fontId="3" fillId="0" borderId="0" xfId="0" applyFont="1" applyFill="1" applyBorder="1" applyAlignment="1" quotePrefix="1">
      <alignment horizontal="center" vertical="center" wrapText="1"/>
    </xf>
    <xf numFmtId="0" fontId="4" fillId="0" borderId="3" xfId="0" applyFont="1" applyFill="1" applyBorder="1" applyAlignment="1" quotePrefix="1">
      <alignment horizontal="center" vertical="center" wrapText="1"/>
    </xf>
    <xf numFmtId="0" fontId="2" fillId="0" borderId="0" xfId="0" applyFont="1" applyFill="1" applyBorder="1" applyAlignment="1" quotePrefix="1">
      <alignment horizontal="center" vertical="center"/>
    </xf>
    <xf numFmtId="0" fontId="4" fillId="0" borderId="2" xfId="0" applyFont="1" applyFill="1" applyBorder="1" applyAlignment="1" quotePrefix="1">
      <alignment horizontal="left" vertical="center" wrapText="1"/>
    </xf>
    <xf numFmtId="0" fontId="2" fillId="0" borderId="0" xfId="0" applyFont="1" applyFill="1" applyBorder="1" applyAlignment="1" quotePrefix="1">
      <alignment horizontal="left"/>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 name="常规 4" xfId="52"/>
    <cellStyle name="常规_Sheet1" xfId="53"/>
    <cellStyle name="常规_Sheet10" xfId="54"/>
    <cellStyle name="常规_Sheet3" xfId="55"/>
    <cellStyle name="常规_Sheet9" xfId="56"/>
  </cellStyles>
  <tableStyles count="0" defaultTableStyle="TableStyleMedium9" defaultPivotStyle="PivotStyleLight16"/>
  <colors>
    <mruColors>
      <color rgb="0000B0F0"/>
      <color rgb="00FFFF00"/>
      <color rgb="00FFFFFF"/>
      <color rgb="00FF0000"/>
      <color rgb="00EBF1DE"/>
      <color rgb="00DAEEF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tyles" Target="styles.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5\2024&#24180;&#39044;&#31639;&#25191;&#34892;&#24773;&#20917;&#21644;2025&#24180;&#36130;&#25919;&#39044;&#31639;&#65288;&#33609;&#26696;&#65289;20250218%20&#23450;&#31295;\2024&#24180;&#39044;&#31639;&#25191;&#34892;&#24773;&#20917;&#21644;2025&#24180;&#36130;&#25919;&#39044;&#31639;&#65288;&#33609;&#26696;&#65289;&#25253;&#21578;&#38468;&#34920;20250218%20&#23450;&#312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一、2024年公共财政预算收入执行情况表"/>
      <sheetName val="√表二、2024年预算平衡情况表"/>
      <sheetName val="√表三、2024年公共财政支出预算执行情况表"/>
      <sheetName val="√表四、2024年公共财政支出变动表"/>
      <sheetName val="√表五、2024年政府性基金收支执行明细表 "/>
      <sheetName val="√表六、2024年政府性基金支出来源情况表 "/>
      <sheetName val="√表七、2024年社保基金执行情况"/>
      <sheetName val="√表八、2024年国有资本经营执行情况表"/>
      <sheetName val="√表九、2024年三公经费执行情况表"/>
      <sheetName val="√表十、2024年其他社保基金执行情况"/>
      <sheetName val="√表十一、2025年一般公共预算收入表"/>
      <sheetName val="√表十二、2025年一般公共预算支出表"/>
      <sheetName val="√表十三、2025年一般公共预算平衡表"/>
      <sheetName val="√表十四、2025年一般公共预算支出资金来源情况表"/>
      <sheetName val="√表十五、2025年政府性基金预算收支表"/>
      <sheetName val="√表十六、2025年政府性基金预算收支明细表"/>
      <sheetName val="√表十七、2025年政府性基金预算支出资金来源情况表"/>
      <sheetName val="√表十八、2025年社会保险金预算"/>
      <sheetName val="√表十九、2025年国有资本经营预算收支总表"/>
      <sheetName val="√表二十、2025年三公经费预算表"/>
      <sheetName val="√表二十一、2025年一般公共预算支出经济分类预算表"/>
    </sheetNames>
    <sheetDataSet>
      <sheetData sheetId="0"/>
      <sheetData sheetId="1"/>
      <sheetData sheetId="2"/>
      <sheetData sheetId="3">
        <row r="7">
          <cell r="A7" t="str">
            <v>201</v>
          </cell>
          <cell r="B7" t="str">
            <v>一、一般公共服务</v>
          </cell>
          <cell r="C7">
            <v>21927</v>
          </cell>
          <cell r="D7">
            <v>-698</v>
          </cell>
          <cell r="E7">
            <v>0</v>
          </cell>
          <cell r="F7">
            <v>-634</v>
          </cell>
          <cell r="G7">
            <v>0</v>
          </cell>
          <cell r="H7">
            <v>0</v>
          </cell>
          <cell r="I7">
            <v>0</v>
          </cell>
          <cell r="J7">
            <v>0</v>
          </cell>
          <cell r="K7">
            <v>0</v>
          </cell>
          <cell r="L7">
            <v>0</v>
          </cell>
          <cell r="M7">
            <v>0</v>
          </cell>
          <cell r="N7">
            <v>0</v>
          </cell>
          <cell r="O7">
            <v>-64</v>
          </cell>
          <cell r="P7">
            <v>21229</v>
          </cell>
          <cell r="Q7">
            <v>20055</v>
          </cell>
          <cell r="R7">
            <v>1174</v>
          </cell>
        </row>
        <row r="8">
          <cell r="A8" t="str">
            <v>20101</v>
          </cell>
          <cell r="B8" t="str">
            <v>    人大事务</v>
          </cell>
          <cell r="C8">
            <v>1186</v>
          </cell>
          <cell r="D8">
            <v>-470</v>
          </cell>
        </row>
        <row r="8">
          <cell r="F8">
            <v>-470</v>
          </cell>
        </row>
        <row r="8">
          <cell r="P8">
            <v>716</v>
          </cell>
          <cell r="Q8">
            <v>640</v>
          </cell>
          <cell r="R8">
            <v>76</v>
          </cell>
        </row>
        <row r="9">
          <cell r="A9" t="str">
            <v>20102</v>
          </cell>
          <cell r="B9" t="str">
            <v>    政协事务</v>
          </cell>
          <cell r="C9">
            <v>360</v>
          </cell>
          <cell r="D9">
            <v>-58</v>
          </cell>
        </row>
        <row r="9">
          <cell r="F9">
            <v>-58</v>
          </cell>
        </row>
        <row r="9">
          <cell r="P9">
            <v>302</v>
          </cell>
          <cell r="Q9">
            <v>290</v>
          </cell>
          <cell r="R9">
            <v>12</v>
          </cell>
        </row>
        <row r="10">
          <cell r="A10" t="str">
            <v>20103</v>
          </cell>
          <cell r="B10" t="str">
            <v>    政府办公厅（室）及相关机构事务</v>
          </cell>
          <cell r="C10">
            <v>8098</v>
          </cell>
          <cell r="D10">
            <v>-119</v>
          </cell>
        </row>
        <row r="10">
          <cell r="F10">
            <v>-119</v>
          </cell>
        </row>
        <row r="10">
          <cell r="P10">
            <v>7979</v>
          </cell>
          <cell r="Q10">
            <v>7979</v>
          </cell>
          <cell r="R10">
            <v>0</v>
          </cell>
        </row>
        <row r="11">
          <cell r="A11" t="str">
            <v>20104</v>
          </cell>
          <cell r="B11" t="str">
            <v>    发展与改革事务</v>
          </cell>
          <cell r="C11">
            <v>463</v>
          </cell>
          <cell r="D11">
            <v>-88</v>
          </cell>
        </row>
        <row r="11">
          <cell r="F11">
            <v>-8</v>
          </cell>
        </row>
        <row r="11">
          <cell r="O11">
            <v>-80</v>
          </cell>
          <cell r="P11">
            <v>375</v>
          </cell>
          <cell r="Q11">
            <v>375</v>
          </cell>
          <cell r="R11">
            <v>0</v>
          </cell>
        </row>
        <row r="12">
          <cell r="A12" t="str">
            <v>20105</v>
          </cell>
          <cell r="B12" t="str">
            <v>    统计信息事务</v>
          </cell>
          <cell r="C12">
            <v>396</v>
          </cell>
          <cell r="D12">
            <v>0</v>
          </cell>
        </row>
        <row r="12">
          <cell r="P12">
            <v>396</v>
          </cell>
          <cell r="Q12">
            <v>385</v>
          </cell>
          <cell r="R12">
            <v>11</v>
          </cell>
        </row>
        <row r="13">
          <cell r="A13" t="str">
            <v>20106</v>
          </cell>
          <cell r="B13" t="str">
            <v>    财政事务</v>
          </cell>
          <cell r="C13">
            <v>1419</v>
          </cell>
          <cell r="D13">
            <v>-135</v>
          </cell>
        </row>
        <row r="13">
          <cell r="F13">
            <v>-135</v>
          </cell>
        </row>
        <row r="13">
          <cell r="P13">
            <v>1284</v>
          </cell>
          <cell r="Q13">
            <v>1260</v>
          </cell>
          <cell r="R13">
            <v>24</v>
          </cell>
        </row>
        <row r="14">
          <cell r="A14" t="str">
            <v>20107</v>
          </cell>
          <cell r="B14" t="str">
            <v>    税收事务</v>
          </cell>
          <cell r="C14">
            <v>237</v>
          </cell>
          <cell r="D14">
            <v>431</v>
          </cell>
        </row>
        <row r="14">
          <cell r="F14">
            <v>431</v>
          </cell>
        </row>
        <row r="14">
          <cell r="P14">
            <v>668</v>
          </cell>
          <cell r="Q14">
            <v>668</v>
          </cell>
          <cell r="R14">
            <v>0</v>
          </cell>
        </row>
        <row r="15">
          <cell r="A15" t="str">
            <v>20108</v>
          </cell>
          <cell r="B15" t="str">
            <v>    审计事务</v>
          </cell>
          <cell r="C15">
            <v>201</v>
          </cell>
          <cell r="D15">
            <v>17</v>
          </cell>
        </row>
        <row r="15">
          <cell r="F15">
            <v>17</v>
          </cell>
        </row>
        <row r="15">
          <cell r="P15">
            <v>218</v>
          </cell>
          <cell r="Q15">
            <v>216</v>
          </cell>
          <cell r="R15">
            <v>2</v>
          </cell>
        </row>
        <row r="16">
          <cell r="A16" t="str">
            <v>20109</v>
          </cell>
          <cell r="B16" t="str">
            <v>    海关事务</v>
          </cell>
        </row>
        <row r="16">
          <cell r="D16">
            <v>0</v>
          </cell>
        </row>
        <row r="16">
          <cell r="P16">
            <v>0</v>
          </cell>
        </row>
        <row r="16">
          <cell r="R16">
            <v>0</v>
          </cell>
        </row>
        <row r="17">
          <cell r="A17" t="str">
            <v>20110</v>
          </cell>
          <cell r="B17" t="str">
            <v>    人力资源事务</v>
          </cell>
        </row>
        <row r="17">
          <cell r="D17">
            <v>0</v>
          </cell>
        </row>
        <row r="17">
          <cell r="P17">
            <v>0</v>
          </cell>
        </row>
        <row r="17">
          <cell r="R17">
            <v>0</v>
          </cell>
        </row>
        <row r="18">
          <cell r="A18" t="str">
            <v>20111</v>
          </cell>
          <cell r="B18" t="str">
            <v>    纪检监察事务</v>
          </cell>
          <cell r="C18">
            <v>1443</v>
          </cell>
          <cell r="D18">
            <v>79</v>
          </cell>
        </row>
        <row r="18">
          <cell r="F18">
            <v>65</v>
          </cell>
        </row>
        <row r="18">
          <cell r="O18">
            <v>14</v>
          </cell>
          <cell r="P18">
            <v>1522</v>
          </cell>
          <cell r="Q18">
            <v>1513</v>
          </cell>
          <cell r="R18">
            <v>9</v>
          </cell>
        </row>
        <row r="19">
          <cell r="A19" t="str">
            <v>20113</v>
          </cell>
          <cell r="B19" t="str">
            <v>    商贸事务</v>
          </cell>
          <cell r="C19">
            <v>90</v>
          </cell>
          <cell r="D19">
            <v>27</v>
          </cell>
        </row>
        <row r="19">
          <cell r="F19">
            <v>27</v>
          </cell>
        </row>
        <row r="19">
          <cell r="P19">
            <v>117</v>
          </cell>
          <cell r="Q19">
            <v>117</v>
          </cell>
          <cell r="R19">
            <v>0</v>
          </cell>
        </row>
        <row r="20">
          <cell r="A20" t="str">
            <v>20114</v>
          </cell>
          <cell r="B20" t="str">
            <v>    知识产权事务</v>
          </cell>
        </row>
        <row r="20">
          <cell r="D20">
            <v>0</v>
          </cell>
        </row>
        <row r="20">
          <cell r="P20">
            <v>0</v>
          </cell>
        </row>
        <row r="20">
          <cell r="R20">
            <v>0</v>
          </cell>
        </row>
        <row r="21">
          <cell r="A21" t="str">
            <v>20123</v>
          </cell>
          <cell r="B21" t="str">
            <v>    民族事务</v>
          </cell>
          <cell r="C21">
            <v>226</v>
          </cell>
          <cell r="D21">
            <v>-59</v>
          </cell>
        </row>
        <row r="21">
          <cell r="F21">
            <v>-59</v>
          </cell>
        </row>
        <row r="21">
          <cell r="P21">
            <v>167</v>
          </cell>
          <cell r="Q21">
            <v>127</v>
          </cell>
          <cell r="R21">
            <v>40</v>
          </cell>
        </row>
        <row r="22">
          <cell r="A22" t="str">
            <v>20125</v>
          </cell>
          <cell r="B22" t="str">
            <v>    港澳台事务</v>
          </cell>
        </row>
        <row r="22">
          <cell r="D22">
            <v>0</v>
          </cell>
        </row>
        <row r="22">
          <cell r="P22">
            <v>0</v>
          </cell>
        </row>
        <row r="22">
          <cell r="R22">
            <v>0</v>
          </cell>
        </row>
        <row r="23">
          <cell r="A23" t="str">
            <v>20126</v>
          </cell>
          <cell r="B23" t="str">
            <v>    档案事务</v>
          </cell>
          <cell r="C23">
            <v>108</v>
          </cell>
          <cell r="D23">
            <v>-18</v>
          </cell>
        </row>
        <row r="23">
          <cell r="F23">
            <v>-18</v>
          </cell>
        </row>
        <row r="23">
          <cell r="P23">
            <v>90</v>
          </cell>
          <cell r="Q23">
            <v>90</v>
          </cell>
          <cell r="R23">
            <v>0</v>
          </cell>
        </row>
        <row r="24">
          <cell r="A24" t="str">
            <v>20128</v>
          </cell>
          <cell r="B24" t="str">
            <v>    民主党派及工商联事务</v>
          </cell>
          <cell r="C24">
            <v>42</v>
          </cell>
          <cell r="D24">
            <v>1</v>
          </cell>
        </row>
        <row r="24">
          <cell r="F24">
            <v>1</v>
          </cell>
        </row>
        <row r="24">
          <cell r="P24">
            <v>43</v>
          </cell>
          <cell r="Q24">
            <v>43</v>
          </cell>
          <cell r="R24">
            <v>0</v>
          </cell>
        </row>
        <row r="25">
          <cell r="A25" t="str">
            <v>20129</v>
          </cell>
          <cell r="B25" t="str">
            <v>    群众团体事务</v>
          </cell>
          <cell r="C25">
            <v>467</v>
          </cell>
          <cell r="D25">
            <v>427</v>
          </cell>
        </row>
        <row r="25">
          <cell r="F25">
            <v>426</v>
          </cell>
        </row>
        <row r="25">
          <cell r="O25">
            <v>1</v>
          </cell>
          <cell r="P25">
            <v>894</v>
          </cell>
          <cell r="Q25">
            <v>668</v>
          </cell>
          <cell r="R25">
            <v>226</v>
          </cell>
        </row>
        <row r="26">
          <cell r="A26" t="str">
            <v>20131</v>
          </cell>
          <cell r="B26" t="str">
            <v>    党委办公厅（室）及相关机构事务</v>
          </cell>
          <cell r="C26">
            <v>539</v>
          </cell>
          <cell r="D26">
            <v>82</v>
          </cell>
        </row>
        <row r="26">
          <cell r="F26">
            <v>82</v>
          </cell>
        </row>
        <row r="26">
          <cell r="P26">
            <v>621</v>
          </cell>
          <cell r="Q26">
            <v>564</v>
          </cell>
          <cell r="R26">
            <v>57</v>
          </cell>
        </row>
        <row r="27">
          <cell r="A27" t="str">
            <v>20132</v>
          </cell>
          <cell r="B27" t="str">
            <v>    组织事务</v>
          </cell>
          <cell r="C27">
            <v>2235</v>
          </cell>
          <cell r="D27">
            <v>-625</v>
          </cell>
        </row>
        <row r="27">
          <cell r="F27">
            <v>-626</v>
          </cell>
        </row>
        <row r="27">
          <cell r="O27">
            <v>1</v>
          </cell>
          <cell r="P27">
            <v>1610</v>
          </cell>
          <cell r="Q27">
            <v>954</v>
          </cell>
          <cell r="R27">
            <v>656</v>
          </cell>
        </row>
        <row r="28">
          <cell r="A28" t="str">
            <v>20133</v>
          </cell>
          <cell r="B28" t="str">
            <v>    宣传事务</v>
          </cell>
          <cell r="C28">
            <v>187</v>
          </cell>
          <cell r="D28">
            <v>8</v>
          </cell>
        </row>
        <row r="28">
          <cell r="F28">
            <v>8</v>
          </cell>
        </row>
        <row r="28">
          <cell r="P28">
            <v>195</v>
          </cell>
          <cell r="Q28">
            <v>195</v>
          </cell>
          <cell r="R28">
            <v>0</v>
          </cell>
        </row>
        <row r="29">
          <cell r="A29" t="str">
            <v>20134</v>
          </cell>
          <cell r="B29" t="str">
            <v>    统战事务</v>
          </cell>
          <cell r="C29">
            <v>586</v>
          </cell>
          <cell r="D29">
            <v>-324</v>
          </cell>
        </row>
        <row r="29">
          <cell r="F29">
            <v>-324</v>
          </cell>
        </row>
        <row r="29">
          <cell r="P29">
            <v>262</v>
          </cell>
          <cell r="Q29">
            <v>256</v>
          </cell>
          <cell r="R29">
            <v>6</v>
          </cell>
        </row>
        <row r="30">
          <cell r="A30" t="str">
            <v>20135</v>
          </cell>
          <cell r="B30" t="str">
            <v>    对外联络事务</v>
          </cell>
        </row>
        <row r="30">
          <cell r="D30">
            <v>0</v>
          </cell>
        </row>
        <row r="30">
          <cell r="P30">
            <v>0</v>
          </cell>
        </row>
        <row r="30">
          <cell r="R30">
            <v>0</v>
          </cell>
        </row>
        <row r="31">
          <cell r="A31" t="str">
            <v>20136</v>
          </cell>
          <cell r="B31" t="str">
            <v>    其他共产党事务支出</v>
          </cell>
          <cell r="C31">
            <v>421</v>
          </cell>
          <cell r="D31">
            <v>6</v>
          </cell>
        </row>
        <row r="31">
          <cell r="F31">
            <v>6</v>
          </cell>
        </row>
        <row r="31">
          <cell r="P31">
            <v>427</v>
          </cell>
          <cell r="Q31">
            <v>427</v>
          </cell>
          <cell r="R31">
            <v>0</v>
          </cell>
        </row>
        <row r="32">
          <cell r="A32" t="str">
            <v>20137</v>
          </cell>
          <cell r="B32" t="str">
            <v>    网信事务</v>
          </cell>
        </row>
        <row r="32">
          <cell r="D32">
            <v>0</v>
          </cell>
        </row>
        <row r="32">
          <cell r="P32">
            <v>0</v>
          </cell>
        </row>
        <row r="32">
          <cell r="R32">
            <v>0</v>
          </cell>
        </row>
        <row r="33">
          <cell r="A33" t="str">
            <v>20138</v>
          </cell>
          <cell r="B33" t="str">
            <v>    市场监督管理事务</v>
          </cell>
          <cell r="C33">
            <v>1668</v>
          </cell>
          <cell r="D33">
            <v>-69</v>
          </cell>
        </row>
        <row r="33">
          <cell r="F33">
            <v>-69</v>
          </cell>
        </row>
        <row r="33">
          <cell r="P33">
            <v>1599</v>
          </cell>
          <cell r="Q33">
            <v>1544</v>
          </cell>
          <cell r="R33">
            <v>55</v>
          </cell>
        </row>
        <row r="34">
          <cell r="A34" t="str">
            <v>20139</v>
          </cell>
          <cell r="B34" t="str">
            <v>    社会工作事务</v>
          </cell>
        </row>
        <row r="34">
          <cell r="D34">
            <v>24</v>
          </cell>
        </row>
        <row r="34">
          <cell r="F34">
            <v>24</v>
          </cell>
        </row>
        <row r="34">
          <cell r="P34">
            <v>24</v>
          </cell>
          <cell r="Q34">
            <v>24</v>
          </cell>
          <cell r="R34">
            <v>0</v>
          </cell>
        </row>
        <row r="35">
          <cell r="A35" t="str">
            <v>20140</v>
          </cell>
          <cell r="B35" t="str">
            <v>    信访事务</v>
          </cell>
          <cell r="C35">
            <v>147</v>
          </cell>
          <cell r="D35">
            <v>4</v>
          </cell>
        </row>
        <row r="35">
          <cell r="F35">
            <v>4</v>
          </cell>
        </row>
        <row r="35">
          <cell r="P35">
            <v>151</v>
          </cell>
          <cell r="Q35">
            <v>151</v>
          </cell>
          <cell r="R35">
            <v>0</v>
          </cell>
        </row>
        <row r="36">
          <cell r="A36" t="str">
            <v>20199</v>
          </cell>
          <cell r="B36" t="str">
            <v>    其他一般公共服务支出</v>
          </cell>
          <cell r="C36">
            <v>1408</v>
          </cell>
          <cell r="D36">
            <v>161</v>
          </cell>
        </row>
        <row r="36">
          <cell r="F36">
            <v>161</v>
          </cell>
        </row>
        <row r="36">
          <cell r="P36">
            <v>1569</v>
          </cell>
          <cell r="Q36">
            <v>1569</v>
          </cell>
          <cell r="R36">
            <v>0</v>
          </cell>
        </row>
        <row r="37">
          <cell r="A37" t="str">
            <v>202</v>
          </cell>
          <cell r="B37" t="str">
            <v>二、外交支出</v>
          </cell>
          <cell r="C37">
            <v>0</v>
          </cell>
          <cell r="D37">
            <v>0</v>
          </cell>
          <cell r="E37">
            <v>0</v>
          </cell>
        </row>
        <row r="37">
          <cell r="G37">
            <v>0</v>
          </cell>
          <cell r="H37">
            <v>0</v>
          </cell>
          <cell r="I37">
            <v>0</v>
          </cell>
        </row>
        <row r="37">
          <cell r="K37">
            <v>0</v>
          </cell>
          <cell r="L37">
            <v>0</v>
          </cell>
          <cell r="M37">
            <v>0</v>
          </cell>
          <cell r="N37">
            <v>0</v>
          </cell>
          <cell r="O37">
            <v>0</v>
          </cell>
          <cell r="P37">
            <v>0</v>
          </cell>
          <cell r="Q37">
            <v>0</v>
          </cell>
          <cell r="R37">
            <v>0</v>
          </cell>
        </row>
        <row r="38">
          <cell r="A38" t="str">
            <v>20205</v>
          </cell>
          <cell r="B38" t="str">
            <v>    对外合作与交流</v>
          </cell>
          <cell r="C38">
            <v>0</v>
          </cell>
          <cell r="D38">
            <v>0</v>
          </cell>
          <cell r="E38">
            <v>0</v>
          </cell>
          <cell r="F38">
            <v>0</v>
          </cell>
          <cell r="G38">
            <v>0</v>
          </cell>
          <cell r="H38">
            <v>0</v>
          </cell>
          <cell r="I38">
            <v>0</v>
          </cell>
        </row>
        <row r="38">
          <cell r="K38">
            <v>0</v>
          </cell>
          <cell r="L38">
            <v>0</v>
          </cell>
          <cell r="M38">
            <v>0</v>
          </cell>
          <cell r="N38">
            <v>0</v>
          </cell>
          <cell r="O38">
            <v>0</v>
          </cell>
          <cell r="P38">
            <v>0</v>
          </cell>
          <cell r="Q38">
            <v>0</v>
          </cell>
          <cell r="R38">
            <v>0</v>
          </cell>
        </row>
        <row r="39">
          <cell r="A39" t="str">
            <v>20299</v>
          </cell>
          <cell r="B39" t="str">
            <v>    其他外交支出</v>
          </cell>
          <cell r="C39">
            <v>0</v>
          </cell>
          <cell r="D39">
            <v>0</v>
          </cell>
          <cell r="E39">
            <v>0</v>
          </cell>
          <cell r="F39">
            <v>0</v>
          </cell>
          <cell r="G39">
            <v>0</v>
          </cell>
          <cell r="H39">
            <v>0</v>
          </cell>
          <cell r="I39">
            <v>0</v>
          </cell>
        </row>
        <row r="39">
          <cell r="K39">
            <v>0</v>
          </cell>
          <cell r="L39">
            <v>0</v>
          </cell>
          <cell r="M39">
            <v>0</v>
          </cell>
          <cell r="N39">
            <v>0</v>
          </cell>
          <cell r="O39">
            <v>0</v>
          </cell>
          <cell r="P39">
            <v>0</v>
          </cell>
          <cell r="Q39">
            <v>0</v>
          </cell>
          <cell r="R39">
            <v>0</v>
          </cell>
        </row>
        <row r="40">
          <cell r="A40" t="str">
            <v>203</v>
          </cell>
          <cell r="B40" t="str">
            <v>三、国防支出</v>
          </cell>
          <cell r="C40">
            <v>26</v>
          </cell>
          <cell r="D40">
            <v>301</v>
          </cell>
          <cell r="E40">
            <v>0</v>
          </cell>
          <cell r="F40">
            <v>301</v>
          </cell>
          <cell r="G40">
            <v>0</v>
          </cell>
          <cell r="H40">
            <v>0</v>
          </cell>
          <cell r="I40">
            <v>0</v>
          </cell>
          <cell r="J40">
            <v>0</v>
          </cell>
          <cell r="K40">
            <v>0</v>
          </cell>
          <cell r="L40">
            <v>0</v>
          </cell>
          <cell r="M40">
            <v>0</v>
          </cell>
          <cell r="N40">
            <v>0</v>
          </cell>
          <cell r="O40">
            <v>0</v>
          </cell>
          <cell r="P40">
            <v>327</v>
          </cell>
          <cell r="Q40">
            <v>327</v>
          </cell>
          <cell r="R40">
            <v>0</v>
          </cell>
        </row>
        <row r="41">
          <cell r="A41" t="str">
            <v>20306</v>
          </cell>
          <cell r="B41" t="str">
            <v>    国防动员</v>
          </cell>
          <cell r="C41">
            <v>26</v>
          </cell>
          <cell r="D41">
            <v>282</v>
          </cell>
          <cell r="E41">
            <v>0</v>
          </cell>
          <cell r="F41">
            <v>282</v>
          </cell>
          <cell r="G41">
            <v>0</v>
          </cell>
          <cell r="H41">
            <v>0</v>
          </cell>
        </row>
        <row r="41">
          <cell r="O41">
            <v>0</v>
          </cell>
          <cell r="P41">
            <v>308</v>
          </cell>
          <cell r="Q41">
            <v>308</v>
          </cell>
          <cell r="R41">
            <v>0</v>
          </cell>
        </row>
        <row r="42">
          <cell r="A42" t="str">
            <v>20399</v>
          </cell>
          <cell r="B42" t="str">
            <v>    其他国防支出</v>
          </cell>
          <cell r="C42">
            <v>0</v>
          </cell>
          <cell r="D42">
            <v>19</v>
          </cell>
          <cell r="E42">
            <v>0</v>
          </cell>
          <cell r="F42">
            <v>19</v>
          </cell>
          <cell r="G42">
            <v>0</v>
          </cell>
          <cell r="H42">
            <v>0</v>
          </cell>
        </row>
        <row r="42">
          <cell r="O42">
            <v>0</v>
          </cell>
          <cell r="P42">
            <v>19</v>
          </cell>
          <cell r="Q42">
            <v>19</v>
          </cell>
          <cell r="R42">
            <v>0</v>
          </cell>
        </row>
        <row r="43">
          <cell r="A43" t="str">
            <v>204</v>
          </cell>
          <cell r="B43" t="str">
            <v>四、公共安全支出</v>
          </cell>
          <cell r="C43">
            <v>9792</v>
          </cell>
          <cell r="D43">
            <v>3053</v>
          </cell>
          <cell r="E43">
            <v>0</v>
          </cell>
          <cell r="F43">
            <v>6241</v>
          </cell>
          <cell r="G43">
            <v>0</v>
          </cell>
          <cell r="H43">
            <v>0</v>
          </cell>
          <cell r="I43">
            <v>0</v>
          </cell>
          <cell r="J43">
            <v>0</v>
          </cell>
          <cell r="K43">
            <v>0</v>
          </cell>
          <cell r="L43">
            <v>0</v>
          </cell>
          <cell r="M43">
            <v>0</v>
          </cell>
          <cell r="N43">
            <v>-1500</v>
          </cell>
          <cell r="O43">
            <v>-1688</v>
          </cell>
          <cell r="P43">
            <v>12845</v>
          </cell>
          <cell r="Q43">
            <v>9721</v>
          </cell>
          <cell r="R43">
            <v>3124</v>
          </cell>
        </row>
        <row r="44">
          <cell r="A44" t="str">
            <v>20401</v>
          </cell>
          <cell r="B44" t="str">
            <v>    武装警察部队</v>
          </cell>
          <cell r="C44">
            <v>14</v>
          </cell>
          <cell r="D44">
            <v>24</v>
          </cell>
          <cell r="E44">
            <v>0</v>
          </cell>
          <cell r="F44">
            <v>24</v>
          </cell>
        </row>
        <row r="44">
          <cell r="P44">
            <v>38</v>
          </cell>
          <cell r="Q44">
            <v>38</v>
          </cell>
          <cell r="R44">
            <v>0</v>
          </cell>
        </row>
        <row r="45">
          <cell r="A45" t="str">
            <v>20402</v>
          </cell>
          <cell r="B45" t="str">
            <v>    公安</v>
          </cell>
          <cell r="C45">
            <v>8827</v>
          </cell>
          <cell r="D45">
            <v>2570</v>
          </cell>
          <cell r="E45">
            <v>0</v>
          </cell>
          <cell r="F45">
            <v>5758</v>
          </cell>
        </row>
        <row r="45">
          <cell r="N45">
            <v>-1500</v>
          </cell>
          <cell r="O45">
            <v>-1688</v>
          </cell>
          <cell r="P45">
            <v>11397</v>
          </cell>
          <cell r="Q45">
            <v>8344</v>
          </cell>
          <cell r="R45">
            <v>3053</v>
          </cell>
        </row>
        <row r="46">
          <cell r="A46" t="str">
            <v>20403</v>
          </cell>
          <cell r="B46" t="str">
            <v>    国家安全</v>
          </cell>
          <cell r="C46">
            <v>1</v>
          </cell>
          <cell r="D46">
            <v>-1</v>
          </cell>
          <cell r="E46">
            <v>0</v>
          </cell>
        </row>
        <row r="46">
          <cell r="J46">
            <v>-1</v>
          </cell>
        </row>
        <row r="46">
          <cell r="P46">
            <v>0</v>
          </cell>
        </row>
        <row r="46">
          <cell r="R46">
            <v>0</v>
          </cell>
        </row>
        <row r="47">
          <cell r="A47" t="str">
            <v>20404</v>
          </cell>
          <cell r="B47" t="str">
            <v>    检察</v>
          </cell>
        </row>
        <row r="47">
          <cell r="D47">
            <v>135</v>
          </cell>
          <cell r="E47">
            <v>0</v>
          </cell>
          <cell r="F47">
            <v>135</v>
          </cell>
        </row>
        <row r="47">
          <cell r="P47">
            <v>135</v>
          </cell>
          <cell r="Q47">
            <v>135</v>
          </cell>
          <cell r="R47">
            <v>0</v>
          </cell>
        </row>
        <row r="48">
          <cell r="A48" t="str">
            <v>20405</v>
          </cell>
          <cell r="B48" t="str">
            <v>    法院</v>
          </cell>
        </row>
        <row r="48">
          <cell r="D48">
            <v>271</v>
          </cell>
          <cell r="E48">
            <v>0</v>
          </cell>
          <cell r="F48">
            <v>271</v>
          </cell>
        </row>
        <row r="48">
          <cell r="P48">
            <v>271</v>
          </cell>
          <cell r="Q48">
            <v>271</v>
          </cell>
          <cell r="R48">
            <v>0</v>
          </cell>
        </row>
        <row r="49">
          <cell r="A49" t="str">
            <v>20406</v>
          </cell>
          <cell r="B49" t="str">
            <v>    司法</v>
          </cell>
          <cell r="C49">
            <v>950</v>
          </cell>
          <cell r="D49">
            <v>-1</v>
          </cell>
          <cell r="E49">
            <v>0</v>
          </cell>
          <cell r="F49">
            <v>-2</v>
          </cell>
        </row>
        <row r="49">
          <cell r="J49">
            <v>1</v>
          </cell>
        </row>
        <row r="49">
          <cell r="P49">
            <v>949</v>
          </cell>
          <cell r="Q49">
            <v>878</v>
          </cell>
          <cell r="R49">
            <v>71</v>
          </cell>
        </row>
        <row r="50">
          <cell r="A50" t="str">
            <v>20407</v>
          </cell>
          <cell r="B50" t="str">
            <v>    监狱</v>
          </cell>
        </row>
        <row r="50">
          <cell r="D50">
            <v>0</v>
          </cell>
          <cell r="E50">
            <v>0</v>
          </cell>
        </row>
        <row r="50">
          <cell r="P50">
            <v>0</v>
          </cell>
        </row>
        <row r="50">
          <cell r="R50">
            <v>0</v>
          </cell>
        </row>
        <row r="51">
          <cell r="A51" t="str">
            <v>20408</v>
          </cell>
          <cell r="B51" t="str">
            <v>    强制隔离戒毒</v>
          </cell>
        </row>
        <row r="51">
          <cell r="D51">
            <v>0</v>
          </cell>
          <cell r="E51">
            <v>0</v>
          </cell>
        </row>
        <row r="51">
          <cell r="P51">
            <v>0</v>
          </cell>
        </row>
        <row r="51">
          <cell r="R51">
            <v>0</v>
          </cell>
        </row>
        <row r="52">
          <cell r="A52" t="str">
            <v>20409</v>
          </cell>
          <cell r="B52" t="str">
            <v>    国家保密</v>
          </cell>
        </row>
        <row r="52">
          <cell r="D52">
            <v>0</v>
          </cell>
          <cell r="E52">
            <v>0</v>
          </cell>
        </row>
        <row r="52">
          <cell r="P52">
            <v>0</v>
          </cell>
        </row>
        <row r="52">
          <cell r="R52">
            <v>0</v>
          </cell>
        </row>
        <row r="53">
          <cell r="A53" t="str">
            <v>20410</v>
          </cell>
          <cell r="B53" t="str">
            <v>    缉私警察</v>
          </cell>
        </row>
        <row r="53">
          <cell r="D53">
            <v>0</v>
          </cell>
          <cell r="E53">
            <v>0</v>
          </cell>
        </row>
        <row r="53">
          <cell r="P53">
            <v>0</v>
          </cell>
        </row>
        <row r="53">
          <cell r="R53">
            <v>0</v>
          </cell>
        </row>
        <row r="54">
          <cell r="A54" t="str">
            <v>20499</v>
          </cell>
          <cell r="B54" t="str">
            <v>    其他公共安全支出</v>
          </cell>
        </row>
        <row r="54">
          <cell r="D54">
            <v>55</v>
          </cell>
          <cell r="E54">
            <v>0</v>
          </cell>
          <cell r="F54">
            <v>55</v>
          </cell>
        </row>
        <row r="54">
          <cell r="P54">
            <v>55</v>
          </cell>
          <cell r="Q54">
            <v>55</v>
          </cell>
          <cell r="R54">
            <v>0</v>
          </cell>
        </row>
        <row r="55">
          <cell r="A55" t="str">
            <v>205</v>
          </cell>
          <cell r="B55" t="str">
            <v>五、教育支出</v>
          </cell>
          <cell r="C55">
            <v>69233</v>
          </cell>
          <cell r="D55">
            <v>13607</v>
          </cell>
          <cell r="E55">
            <v>0</v>
          </cell>
          <cell r="F55">
            <v>15129</v>
          </cell>
          <cell r="G55">
            <v>0</v>
          </cell>
          <cell r="H55">
            <v>0</v>
          </cell>
          <cell r="I55">
            <v>0</v>
          </cell>
          <cell r="J55">
            <v>0</v>
          </cell>
          <cell r="K55">
            <v>0</v>
          </cell>
          <cell r="L55">
            <v>424</v>
          </cell>
          <cell r="M55">
            <v>0</v>
          </cell>
          <cell r="N55">
            <v>-3495</v>
          </cell>
          <cell r="O55">
            <v>1549</v>
          </cell>
          <cell r="P55">
            <v>82840</v>
          </cell>
          <cell r="Q55">
            <v>70306</v>
          </cell>
          <cell r="R55">
            <v>12534</v>
          </cell>
        </row>
        <row r="56">
          <cell r="A56" t="str">
            <v>20501</v>
          </cell>
          <cell r="B56" t="str">
            <v>    教育管理事务</v>
          </cell>
          <cell r="C56">
            <v>224</v>
          </cell>
          <cell r="D56">
            <v>-23</v>
          </cell>
          <cell r="E56">
            <v>0</v>
          </cell>
          <cell r="F56">
            <v>-23</v>
          </cell>
          <cell r="G56">
            <v>0</v>
          </cell>
          <cell r="H56">
            <v>0</v>
          </cell>
        </row>
        <row r="56">
          <cell r="O56">
            <v>0</v>
          </cell>
          <cell r="P56">
            <v>201</v>
          </cell>
          <cell r="Q56">
            <v>201</v>
          </cell>
          <cell r="R56">
            <v>0</v>
          </cell>
        </row>
        <row r="57">
          <cell r="A57" t="str">
            <v>20502</v>
          </cell>
          <cell r="B57" t="str">
            <v>    普通教育</v>
          </cell>
          <cell r="C57">
            <v>67306</v>
          </cell>
          <cell r="D57">
            <v>11556</v>
          </cell>
        </row>
        <row r="57">
          <cell r="F57">
            <v>15102</v>
          </cell>
        </row>
        <row r="57">
          <cell r="L57">
            <v>424</v>
          </cell>
        </row>
        <row r="57">
          <cell r="N57">
            <v>-3495</v>
          </cell>
          <cell r="O57">
            <v>-475</v>
          </cell>
          <cell r="P57">
            <v>78862</v>
          </cell>
          <cell r="Q57">
            <v>69469</v>
          </cell>
          <cell r="R57">
            <v>9393</v>
          </cell>
        </row>
        <row r="58">
          <cell r="A58" t="str">
            <v>20503</v>
          </cell>
          <cell r="B58" t="str">
            <v>    职业教育</v>
          </cell>
          <cell r="C58">
            <v>210</v>
          </cell>
          <cell r="D58">
            <v>-199</v>
          </cell>
        </row>
        <row r="58">
          <cell r="J58">
            <v>-198</v>
          </cell>
        </row>
        <row r="58">
          <cell r="O58">
            <v>-1</v>
          </cell>
          <cell r="P58">
            <v>11</v>
          </cell>
          <cell r="Q58">
            <v>11</v>
          </cell>
          <cell r="R58">
            <v>0</v>
          </cell>
        </row>
        <row r="59">
          <cell r="A59" t="str">
            <v>20504</v>
          </cell>
          <cell r="B59" t="str">
            <v>    成人教育</v>
          </cell>
        </row>
        <row r="59">
          <cell r="D59">
            <v>0</v>
          </cell>
        </row>
        <row r="59">
          <cell r="P59">
            <v>0</v>
          </cell>
        </row>
        <row r="59">
          <cell r="R59">
            <v>0</v>
          </cell>
        </row>
        <row r="60">
          <cell r="A60" t="str">
            <v>20505</v>
          </cell>
          <cell r="B60" t="str">
            <v>    广播电视教育</v>
          </cell>
        </row>
        <row r="60">
          <cell r="D60">
            <v>0</v>
          </cell>
        </row>
        <row r="60">
          <cell r="P60">
            <v>0</v>
          </cell>
        </row>
        <row r="60">
          <cell r="R60">
            <v>0</v>
          </cell>
        </row>
        <row r="61">
          <cell r="A61" t="str">
            <v>20506</v>
          </cell>
          <cell r="B61" t="str">
            <v>    留学教育</v>
          </cell>
        </row>
        <row r="61">
          <cell r="D61">
            <v>0</v>
          </cell>
        </row>
        <row r="61">
          <cell r="P61">
            <v>0</v>
          </cell>
        </row>
        <row r="61">
          <cell r="R61">
            <v>0</v>
          </cell>
        </row>
        <row r="62">
          <cell r="A62" t="str">
            <v>20507</v>
          </cell>
          <cell r="B62" t="str">
            <v>    特殊教育</v>
          </cell>
          <cell r="C62">
            <v>253</v>
          </cell>
          <cell r="D62">
            <v>79</v>
          </cell>
        </row>
        <row r="62">
          <cell r="F62">
            <v>79</v>
          </cell>
        </row>
        <row r="62">
          <cell r="P62">
            <v>332</v>
          </cell>
          <cell r="Q62">
            <v>314</v>
          </cell>
          <cell r="R62">
            <v>18</v>
          </cell>
        </row>
        <row r="63">
          <cell r="A63" t="str">
            <v>20508</v>
          </cell>
          <cell r="B63" t="str">
            <v>    进修及培训</v>
          </cell>
          <cell r="C63">
            <v>300</v>
          </cell>
          <cell r="D63">
            <v>-29</v>
          </cell>
        </row>
        <row r="63">
          <cell r="F63">
            <v>-29</v>
          </cell>
        </row>
        <row r="63">
          <cell r="P63">
            <v>271</v>
          </cell>
          <cell r="Q63">
            <v>271</v>
          </cell>
          <cell r="R63">
            <v>0</v>
          </cell>
        </row>
        <row r="64">
          <cell r="A64" t="str">
            <v>20509</v>
          </cell>
          <cell r="B64" t="str">
            <v>    教育费附加安排的支出</v>
          </cell>
          <cell r="C64">
            <v>940</v>
          </cell>
          <cell r="D64">
            <v>2223</v>
          </cell>
        </row>
        <row r="64">
          <cell r="J64">
            <v>198</v>
          </cell>
        </row>
        <row r="64">
          <cell r="O64">
            <v>2025</v>
          </cell>
          <cell r="P64">
            <v>3163</v>
          </cell>
          <cell r="Q64">
            <v>40</v>
          </cell>
          <cell r="R64">
            <v>3123</v>
          </cell>
        </row>
        <row r="65">
          <cell r="A65" t="str">
            <v>20599</v>
          </cell>
          <cell r="B65" t="str">
            <v>    其他教育支出</v>
          </cell>
        </row>
        <row r="65">
          <cell r="D65">
            <v>0</v>
          </cell>
        </row>
        <row r="65">
          <cell r="P65">
            <v>0</v>
          </cell>
        </row>
        <row r="65">
          <cell r="R65">
            <v>0</v>
          </cell>
        </row>
        <row r="66">
          <cell r="A66" t="str">
            <v>206</v>
          </cell>
          <cell r="B66" t="str">
            <v>六、科学技术支出</v>
          </cell>
          <cell r="C66">
            <v>2235</v>
          </cell>
          <cell r="D66">
            <v>-957</v>
          </cell>
          <cell r="E66">
            <v>0</v>
          </cell>
          <cell r="F66">
            <v>-957</v>
          </cell>
          <cell r="G66">
            <v>0</v>
          </cell>
          <cell r="H66">
            <v>0</v>
          </cell>
          <cell r="I66">
            <v>0</v>
          </cell>
          <cell r="J66">
            <v>0</v>
          </cell>
          <cell r="K66">
            <v>0</v>
          </cell>
          <cell r="L66">
            <v>0</v>
          </cell>
          <cell r="M66">
            <v>0</v>
          </cell>
          <cell r="N66">
            <v>0</v>
          </cell>
          <cell r="O66">
            <v>0</v>
          </cell>
          <cell r="P66">
            <v>1278</v>
          </cell>
          <cell r="Q66">
            <v>1221</v>
          </cell>
          <cell r="R66">
            <v>57</v>
          </cell>
        </row>
        <row r="67">
          <cell r="A67" t="str">
            <v>20601</v>
          </cell>
          <cell r="B67" t="str">
            <v>    科学技术管理事务</v>
          </cell>
          <cell r="C67">
            <v>337</v>
          </cell>
          <cell r="D67">
            <v>-19</v>
          </cell>
        </row>
        <row r="67">
          <cell r="F67">
            <v>-19</v>
          </cell>
        </row>
        <row r="67">
          <cell r="P67">
            <v>318</v>
          </cell>
          <cell r="Q67">
            <v>318</v>
          </cell>
          <cell r="R67">
            <v>0</v>
          </cell>
        </row>
        <row r="68">
          <cell r="A68" t="str">
            <v>20602</v>
          </cell>
          <cell r="B68" t="str">
            <v>    基础研究</v>
          </cell>
          <cell r="C68">
            <v>196</v>
          </cell>
          <cell r="D68">
            <v>4</v>
          </cell>
        </row>
        <row r="68">
          <cell r="F68">
            <v>4</v>
          </cell>
        </row>
        <row r="68">
          <cell r="P68">
            <v>200</v>
          </cell>
          <cell r="Q68">
            <v>200</v>
          </cell>
          <cell r="R68">
            <v>0</v>
          </cell>
        </row>
        <row r="69">
          <cell r="A69" t="str">
            <v>20603</v>
          </cell>
          <cell r="B69" t="str">
            <v>    应用研究</v>
          </cell>
        </row>
        <row r="69">
          <cell r="D69">
            <v>0</v>
          </cell>
        </row>
        <row r="69">
          <cell r="P69">
            <v>0</v>
          </cell>
        </row>
        <row r="69">
          <cell r="R69">
            <v>0</v>
          </cell>
        </row>
        <row r="70">
          <cell r="A70" t="str">
            <v>20604</v>
          </cell>
          <cell r="B70" t="str">
            <v>    技术研究与开发</v>
          </cell>
          <cell r="C70">
            <v>1613</v>
          </cell>
          <cell r="D70">
            <v>-1108</v>
          </cell>
        </row>
        <row r="70">
          <cell r="F70">
            <v>-1108</v>
          </cell>
        </row>
        <row r="70">
          <cell r="P70">
            <v>505</v>
          </cell>
          <cell r="Q70">
            <v>505</v>
          </cell>
          <cell r="R70">
            <v>0</v>
          </cell>
        </row>
        <row r="71">
          <cell r="A71" t="str">
            <v>20605</v>
          </cell>
          <cell r="B71" t="str">
            <v>    科技条件与服务</v>
          </cell>
        </row>
        <row r="71">
          <cell r="D71">
            <v>0</v>
          </cell>
        </row>
        <row r="71">
          <cell r="P71">
            <v>0</v>
          </cell>
        </row>
        <row r="71">
          <cell r="R71">
            <v>0</v>
          </cell>
        </row>
        <row r="72">
          <cell r="A72" t="str">
            <v>20606</v>
          </cell>
          <cell r="B72" t="str">
            <v>    社会科学</v>
          </cell>
        </row>
        <row r="72">
          <cell r="D72">
            <v>0</v>
          </cell>
        </row>
        <row r="72">
          <cell r="P72">
            <v>0</v>
          </cell>
        </row>
        <row r="72">
          <cell r="R72">
            <v>0</v>
          </cell>
        </row>
        <row r="73">
          <cell r="A73" t="str">
            <v>20607</v>
          </cell>
          <cell r="B73" t="str">
            <v>    科学技术普及</v>
          </cell>
          <cell r="C73">
            <v>87</v>
          </cell>
          <cell r="D73">
            <v>168</v>
          </cell>
        </row>
        <row r="73">
          <cell r="F73">
            <v>168</v>
          </cell>
        </row>
        <row r="73">
          <cell r="P73">
            <v>255</v>
          </cell>
          <cell r="Q73">
            <v>198</v>
          </cell>
          <cell r="R73">
            <v>57</v>
          </cell>
        </row>
        <row r="74">
          <cell r="A74" t="str">
            <v>20608</v>
          </cell>
          <cell r="B74" t="str">
            <v>    科技交流与合作</v>
          </cell>
        </row>
        <row r="74">
          <cell r="D74">
            <v>0</v>
          </cell>
        </row>
        <row r="74">
          <cell r="P74">
            <v>0</v>
          </cell>
        </row>
        <row r="74">
          <cell r="R74">
            <v>0</v>
          </cell>
        </row>
        <row r="75">
          <cell r="A75" t="str">
            <v>20609</v>
          </cell>
          <cell r="B75" t="str">
            <v>    科技重大项目</v>
          </cell>
        </row>
        <row r="75">
          <cell r="D75">
            <v>0</v>
          </cell>
        </row>
        <row r="75">
          <cell r="P75">
            <v>0</v>
          </cell>
        </row>
        <row r="75">
          <cell r="R75">
            <v>0</v>
          </cell>
        </row>
        <row r="76">
          <cell r="A76" t="str">
            <v>20699</v>
          </cell>
          <cell r="B76" t="str">
            <v>    其他科学技术支出</v>
          </cell>
          <cell r="C76">
            <v>2</v>
          </cell>
          <cell r="D76">
            <v>-2</v>
          </cell>
        </row>
        <row r="76">
          <cell r="F76">
            <v>-2</v>
          </cell>
        </row>
        <row r="76">
          <cell r="P76">
            <v>0</v>
          </cell>
        </row>
        <row r="76">
          <cell r="R76">
            <v>0</v>
          </cell>
        </row>
        <row r="77">
          <cell r="A77" t="str">
            <v>207</v>
          </cell>
          <cell r="B77" t="str">
            <v>七、文化旅游体育与传媒支出</v>
          </cell>
          <cell r="C77">
            <v>5678</v>
          </cell>
          <cell r="D77">
            <v>-10</v>
          </cell>
          <cell r="E77">
            <v>0</v>
          </cell>
          <cell r="F77">
            <v>-12</v>
          </cell>
          <cell r="G77">
            <v>0</v>
          </cell>
          <cell r="H77">
            <v>0</v>
          </cell>
          <cell r="I77">
            <v>0</v>
          </cell>
          <cell r="J77">
            <v>0</v>
          </cell>
          <cell r="K77">
            <v>0</v>
          </cell>
          <cell r="L77">
            <v>0</v>
          </cell>
          <cell r="M77">
            <v>0</v>
          </cell>
          <cell r="N77">
            <v>0</v>
          </cell>
          <cell r="O77">
            <v>2</v>
          </cell>
          <cell r="P77">
            <v>5668</v>
          </cell>
          <cell r="Q77">
            <v>2181</v>
          </cell>
          <cell r="R77">
            <v>3487</v>
          </cell>
        </row>
        <row r="78">
          <cell r="A78" t="str">
            <v>20701</v>
          </cell>
          <cell r="B78" t="str">
            <v>    文化和旅游</v>
          </cell>
          <cell r="C78">
            <v>4874</v>
          </cell>
          <cell r="D78">
            <v>2</v>
          </cell>
        </row>
        <row r="78">
          <cell r="O78">
            <v>2</v>
          </cell>
          <cell r="P78">
            <v>4876</v>
          </cell>
          <cell r="Q78">
            <v>1670</v>
          </cell>
          <cell r="R78">
            <v>3206</v>
          </cell>
        </row>
        <row r="79">
          <cell r="A79" t="str">
            <v>20702</v>
          </cell>
          <cell r="B79" t="str">
            <v>    文物</v>
          </cell>
          <cell r="C79">
            <v>333</v>
          </cell>
          <cell r="D79">
            <v>-107</v>
          </cell>
        </row>
        <row r="79">
          <cell r="F79">
            <v>-107</v>
          </cell>
        </row>
        <row r="79">
          <cell r="P79">
            <v>226</v>
          </cell>
          <cell r="Q79">
            <v>71</v>
          </cell>
          <cell r="R79">
            <v>155</v>
          </cell>
        </row>
        <row r="80">
          <cell r="A80" t="str">
            <v>20703</v>
          </cell>
          <cell r="B80" t="str">
            <v>    体育</v>
          </cell>
          <cell r="C80">
            <v>16</v>
          </cell>
          <cell r="D80">
            <v>7</v>
          </cell>
        </row>
        <row r="80">
          <cell r="F80">
            <v>7</v>
          </cell>
        </row>
        <row r="80">
          <cell r="P80">
            <v>23</v>
          </cell>
          <cell r="Q80">
            <v>23</v>
          </cell>
          <cell r="R80">
            <v>0</v>
          </cell>
        </row>
        <row r="81">
          <cell r="A81" t="str">
            <v>20706</v>
          </cell>
          <cell r="B81" t="str">
            <v>    新闻出版电影</v>
          </cell>
          <cell r="C81">
            <v>24</v>
          </cell>
          <cell r="D81">
            <v>39</v>
          </cell>
        </row>
        <row r="81">
          <cell r="F81">
            <v>39</v>
          </cell>
        </row>
        <row r="81">
          <cell r="P81">
            <v>63</v>
          </cell>
          <cell r="Q81">
            <v>37</v>
          </cell>
          <cell r="R81">
            <v>26</v>
          </cell>
        </row>
        <row r="82">
          <cell r="A82" t="str">
            <v>20708</v>
          </cell>
          <cell r="B82" t="str">
            <v>    广播电视</v>
          </cell>
          <cell r="C82">
            <v>427</v>
          </cell>
          <cell r="D82">
            <v>38</v>
          </cell>
        </row>
        <row r="82">
          <cell r="F82">
            <v>38</v>
          </cell>
        </row>
        <row r="82">
          <cell r="P82">
            <v>465</v>
          </cell>
          <cell r="Q82">
            <v>380</v>
          </cell>
          <cell r="R82">
            <v>85</v>
          </cell>
        </row>
        <row r="83">
          <cell r="A83" t="str">
            <v>20799</v>
          </cell>
          <cell r="B83" t="str">
            <v>    其他文化体育与传媒支出</v>
          </cell>
          <cell r="C83">
            <v>4</v>
          </cell>
          <cell r="D83">
            <v>11</v>
          </cell>
        </row>
        <row r="83">
          <cell r="F83">
            <v>11</v>
          </cell>
        </row>
        <row r="83">
          <cell r="P83">
            <v>15</v>
          </cell>
        </row>
        <row r="83">
          <cell r="R83">
            <v>15</v>
          </cell>
        </row>
        <row r="84">
          <cell r="A84" t="str">
            <v>208</v>
          </cell>
          <cell r="B84" t="str">
            <v>八、社会保障和就业支出</v>
          </cell>
          <cell r="C84">
            <v>59456</v>
          </cell>
          <cell r="D84">
            <v>6520</v>
          </cell>
          <cell r="E84">
            <v>-12571</v>
          </cell>
          <cell r="F84">
            <v>17545</v>
          </cell>
          <cell r="G84">
            <v>0</v>
          </cell>
          <cell r="H84">
            <v>0</v>
          </cell>
          <cell r="I84">
            <v>1538</v>
          </cell>
          <cell r="J84">
            <v>0</v>
          </cell>
          <cell r="K84">
            <v>0</v>
          </cell>
          <cell r="L84">
            <v>27</v>
          </cell>
          <cell r="M84">
            <v>0</v>
          </cell>
          <cell r="N84">
            <v>0</v>
          </cell>
          <cell r="O84">
            <v>-19</v>
          </cell>
          <cell r="P84">
            <v>65976</v>
          </cell>
          <cell r="Q84">
            <v>59901</v>
          </cell>
          <cell r="R84">
            <v>6075</v>
          </cell>
        </row>
        <row r="85">
          <cell r="A85" t="str">
            <v>20801</v>
          </cell>
          <cell r="B85" t="str">
            <v>    人力资源和社会保障管理事务</v>
          </cell>
          <cell r="C85">
            <v>4171</v>
          </cell>
          <cell r="D85">
            <v>-398</v>
          </cell>
        </row>
        <row r="85">
          <cell r="F85">
            <v>-425</v>
          </cell>
        </row>
        <row r="85">
          <cell r="L85">
            <v>27</v>
          </cell>
        </row>
        <row r="85">
          <cell r="P85">
            <v>3773</v>
          </cell>
          <cell r="Q85">
            <v>3710</v>
          </cell>
          <cell r="R85">
            <v>63</v>
          </cell>
        </row>
        <row r="86">
          <cell r="A86" t="str">
            <v>20802</v>
          </cell>
          <cell r="B86" t="str">
            <v>    民政管理事务</v>
          </cell>
          <cell r="C86">
            <v>596</v>
          </cell>
          <cell r="D86">
            <v>241</v>
          </cell>
        </row>
        <row r="86">
          <cell r="F86">
            <v>241</v>
          </cell>
        </row>
        <row r="86">
          <cell r="P86">
            <v>837</v>
          </cell>
          <cell r="Q86">
            <v>592</v>
          </cell>
          <cell r="R86">
            <v>245</v>
          </cell>
        </row>
        <row r="87">
          <cell r="A87" t="str">
            <v>20804</v>
          </cell>
          <cell r="B87" t="str">
            <v>    补充全国社会保障基金</v>
          </cell>
        </row>
        <row r="87">
          <cell r="D87">
            <v>0</v>
          </cell>
        </row>
        <row r="87">
          <cell r="P87">
            <v>0</v>
          </cell>
        </row>
        <row r="87">
          <cell r="R87">
            <v>0</v>
          </cell>
        </row>
        <row r="88">
          <cell r="A88" t="str">
            <v>20805</v>
          </cell>
          <cell r="B88" t="str">
            <v>    行政事业单位养老支出</v>
          </cell>
          <cell r="C88">
            <v>28695</v>
          </cell>
          <cell r="D88">
            <v>-4533</v>
          </cell>
          <cell r="E88">
            <v>-12570</v>
          </cell>
          <cell r="F88">
            <v>8037</v>
          </cell>
        </row>
        <row r="88">
          <cell r="P88">
            <v>24162</v>
          </cell>
          <cell r="Q88">
            <v>24162</v>
          </cell>
          <cell r="R88">
            <v>0</v>
          </cell>
        </row>
        <row r="89">
          <cell r="A89" t="str">
            <v>20806</v>
          </cell>
          <cell r="B89" t="str">
            <v>    企业改革补助</v>
          </cell>
        </row>
        <row r="89">
          <cell r="D89">
            <v>0</v>
          </cell>
        </row>
        <row r="89">
          <cell r="P89">
            <v>0</v>
          </cell>
        </row>
        <row r="89">
          <cell r="R89">
            <v>0</v>
          </cell>
        </row>
        <row r="90">
          <cell r="A90" t="str">
            <v>20807</v>
          </cell>
          <cell r="B90" t="str">
            <v>    就业补助</v>
          </cell>
          <cell r="C90">
            <v>1285</v>
          </cell>
          <cell r="D90">
            <v>832</v>
          </cell>
        </row>
        <row r="90">
          <cell r="F90">
            <v>831</v>
          </cell>
        </row>
        <row r="90">
          <cell r="O90">
            <v>1</v>
          </cell>
          <cell r="P90">
            <v>2117</v>
          </cell>
          <cell r="Q90">
            <v>1561</v>
          </cell>
          <cell r="R90">
            <v>556</v>
          </cell>
        </row>
        <row r="91">
          <cell r="A91" t="str">
            <v>20808</v>
          </cell>
          <cell r="B91" t="str">
            <v>    抚恤</v>
          </cell>
          <cell r="C91">
            <v>1655</v>
          </cell>
          <cell r="D91">
            <v>525</v>
          </cell>
        </row>
        <row r="91">
          <cell r="F91">
            <v>531</v>
          </cell>
        </row>
        <row r="91">
          <cell r="O91">
            <v>-6</v>
          </cell>
          <cell r="P91">
            <v>2180</v>
          </cell>
          <cell r="Q91">
            <v>2131</v>
          </cell>
          <cell r="R91">
            <v>49</v>
          </cell>
        </row>
        <row r="92">
          <cell r="A92" t="str">
            <v>20809</v>
          </cell>
          <cell r="B92" t="str">
            <v>    退役安置</v>
          </cell>
          <cell r="C92">
            <v>119</v>
          </cell>
          <cell r="D92">
            <v>142</v>
          </cell>
        </row>
        <row r="92">
          <cell r="F92">
            <v>143</v>
          </cell>
        </row>
        <row r="92">
          <cell r="O92">
            <v>-1</v>
          </cell>
          <cell r="P92">
            <v>261</v>
          </cell>
          <cell r="Q92">
            <v>203</v>
          </cell>
          <cell r="R92">
            <v>58</v>
          </cell>
        </row>
        <row r="93">
          <cell r="A93" t="str">
            <v>20810</v>
          </cell>
          <cell r="B93" t="str">
            <v>    社会福利</v>
          </cell>
          <cell r="C93">
            <v>888</v>
          </cell>
          <cell r="D93">
            <v>150</v>
          </cell>
        </row>
        <row r="93">
          <cell r="F93">
            <v>150</v>
          </cell>
        </row>
        <row r="93">
          <cell r="P93">
            <v>1038</v>
          </cell>
          <cell r="Q93">
            <v>930</v>
          </cell>
          <cell r="R93">
            <v>108</v>
          </cell>
        </row>
        <row r="94">
          <cell r="A94" t="str">
            <v>20811</v>
          </cell>
          <cell r="B94" t="str">
            <v>    残疾人事业</v>
          </cell>
          <cell r="C94">
            <v>628</v>
          </cell>
          <cell r="D94">
            <v>1138</v>
          </cell>
        </row>
        <row r="94">
          <cell r="F94">
            <v>1138</v>
          </cell>
        </row>
        <row r="94">
          <cell r="P94">
            <v>1766</v>
          </cell>
          <cell r="Q94">
            <v>1493</v>
          </cell>
          <cell r="R94">
            <v>273</v>
          </cell>
        </row>
        <row r="95">
          <cell r="A95" t="str">
            <v>20816</v>
          </cell>
          <cell r="B95" t="str">
            <v>    红十字事业</v>
          </cell>
          <cell r="C95">
            <v>69</v>
          </cell>
          <cell r="D95">
            <v>-19</v>
          </cell>
        </row>
        <row r="95">
          <cell r="J95">
            <v>-19</v>
          </cell>
        </row>
        <row r="95">
          <cell r="P95">
            <v>50</v>
          </cell>
          <cell r="Q95">
            <v>50</v>
          </cell>
          <cell r="R95">
            <v>0</v>
          </cell>
        </row>
        <row r="96">
          <cell r="A96" t="str">
            <v>20819</v>
          </cell>
          <cell r="B96" t="str">
            <v>    最低生活保障</v>
          </cell>
          <cell r="C96">
            <v>9148</v>
          </cell>
          <cell r="D96">
            <v>2237</v>
          </cell>
        </row>
        <row r="96">
          <cell r="F96">
            <v>2237</v>
          </cell>
        </row>
        <row r="96">
          <cell r="P96">
            <v>11385</v>
          </cell>
          <cell r="Q96">
            <v>11385</v>
          </cell>
          <cell r="R96">
            <v>0</v>
          </cell>
        </row>
        <row r="97">
          <cell r="A97" t="str">
            <v>20820</v>
          </cell>
          <cell r="B97" t="str">
            <v>    临时救助</v>
          </cell>
          <cell r="C97">
            <v>37</v>
          </cell>
          <cell r="D97">
            <v>155</v>
          </cell>
        </row>
        <row r="97">
          <cell r="F97">
            <v>155</v>
          </cell>
        </row>
        <row r="97">
          <cell r="P97">
            <v>192</v>
          </cell>
          <cell r="Q97">
            <v>146</v>
          </cell>
          <cell r="R97">
            <v>46</v>
          </cell>
        </row>
        <row r="98">
          <cell r="A98" t="str">
            <v>20821</v>
          </cell>
          <cell r="B98" t="str">
            <v>    特困人员救助供养</v>
          </cell>
        </row>
        <row r="98">
          <cell r="D98">
            <v>1879</v>
          </cell>
        </row>
        <row r="98">
          <cell r="F98">
            <v>1879</v>
          </cell>
        </row>
        <row r="98">
          <cell r="P98">
            <v>1879</v>
          </cell>
          <cell r="Q98">
            <v>1879</v>
          </cell>
          <cell r="R98">
            <v>0</v>
          </cell>
        </row>
        <row r="99">
          <cell r="A99" t="str">
            <v>20824</v>
          </cell>
          <cell r="B99" t="str">
            <v>    补充道路交通事故社会救助基金</v>
          </cell>
        </row>
        <row r="99">
          <cell r="D99">
            <v>0</v>
          </cell>
        </row>
        <row r="99">
          <cell r="P99">
            <v>0</v>
          </cell>
        </row>
        <row r="99">
          <cell r="R99">
            <v>0</v>
          </cell>
        </row>
        <row r="100">
          <cell r="A100" t="str">
            <v>20825</v>
          </cell>
          <cell r="B100" t="str">
            <v>    其他生活救助</v>
          </cell>
          <cell r="C100">
            <v>11</v>
          </cell>
          <cell r="D100">
            <v>235</v>
          </cell>
          <cell r="E100">
            <v>-1</v>
          </cell>
          <cell r="F100">
            <v>236</v>
          </cell>
        </row>
        <row r="100">
          <cell r="P100">
            <v>246</v>
          </cell>
          <cell r="Q100">
            <v>246</v>
          </cell>
          <cell r="R100">
            <v>0</v>
          </cell>
        </row>
        <row r="101">
          <cell r="A101" t="str">
            <v>20826</v>
          </cell>
          <cell r="B101" t="str">
            <v>    财政对基本养老保险基金的补助</v>
          </cell>
          <cell r="C101">
            <v>8081</v>
          </cell>
          <cell r="D101">
            <v>2288</v>
          </cell>
        </row>
        <row r="101">
          <cell r="F101">
            <v>2288</v>
          </cell>
        </row>
        <row r="101">
          <cell r="P101">
            <v>10369</v>
          </cell>
          <cell r="Q101">
            <v>6468</v>
          </cell>
          <cell r="R101">
            <v>3901</v>
          </cell>
        </row>
        <row r="102">
          <cell r="A102" t="str">
            <v>20827</v>
          </cell>
          <cell r="B102" t="str">
            <v>    财政对其他社会保险基金的补助</v>
          </cell>
        </row>
        <row r="102">
          <cell r="D102">
            <v>0</v>
          </cell>
        </row>
        <row r="102">
          <cell r="P102">
            <v>0</v>
          </cell>
        </row>
        <row r="102">
          <cell r="R102">
            <v>0</v>
          </cell>
        </row>
        <row r="103">
          <cell r="A103" t="str">
            <v>20828</v>
          </cell>
          <cell r="B103" t="str">
            <v>    退役军人管理事务</v>
          </cell>
          <cell r="C103">
            <v>433</v>
          </cell>
          <cell r="D103">
            <v>104</v>
          </cell>
        </row>
        <row r="103">
          <cell r="F103">
            <v>104</v>
          </cell>
        </row>
        <row r="103">
          <cell r="P103">
            <v>537</v>
          </cell>
          <cell r="Q103">
            <v>431</v>
          </cell>
          <cell r="R103">
            <v>106</v>
          </cell>
        </row>
        <row r="104">
          <cell r="A104" t="str">
            <v>20830</v>
          </cell>
          <cell r="B104" t="str">
            <v>    财政代缴社会保险费支出</v>
          </cell>
          <cell r="C104">
            <v>1956</v>
          </cell>
          <cell r="D104">
            <v>1525</v>
          </cell>
        </row>
        <row r="104">
          <cell r="I104">
            <v>1538</v>
          </cell>
        </row>
        <row r="104">
          <cell r="O104">
            <v>-13</v>
          </cell>
          <cell r="P104">
            <v>3481</v>
          </cell>
          <cell r="Q104">
            <v>3462</v>
          </cell>
          <cell r="R104">
            <v>19</v>
          </cell>
        </row>
        <row r="105">
          <cell r="A105" t="str">
            <v>20899</v>
          </cell>
          <cell r="B105" t="str">
            <v>    其他社会保障和就业支出</v>
          </cell>
          <cell r="C105">
            <v>1684</v>
          </cell>
          <cell r="D105">
            <v>19</v>
          </cell>
        </row>
        <row r="105">
          <cell r="J105">
            <v>19</v>
          </cell>
        </row>
        <row r="105">
          <cell r="P105">
            <v>1703</v>
          </cell>
          <cell r="Q105">
            <v>1052</v>
          </cell>
          <cell r="R105">
            <v>651</v>
          </cell>
        </row>
        <row r="106">
          <cell r="A106" t="str">
            <v>210</v>
          </cell>
          <cell r="B106" t="str">
            <v>九、卫生健康支出</v>
          </cell>
          <cell r="C106">
            <v>26022</v>
          </cell>
          <cell r="D106">
            <v>1496</v>
          </cell>
          <cell r="E106">
            <v>-3496</v>
          </cell>
          <cell r="F106">
            <v>4996</v>
          </cell>
          <cell r="G106">
            <v>0</v>
          </cell>
          <cell r="H106">
            <v>0</v>
          </cell>
          <cell r="I106">
            <v>0</v>
          </cell>
          <cell r="J106">
            <v>0</v>
          </cell>
          <cell r="K106">
            <v>0</v>
          </cell>
          <cell r="L106">
            <v>0</v>
          </cell>
          <cell r="M106">
            <v>0</v>
          </cell>
          <cell r="N106">
            <v>0</v>
          </cell>
          <cell r="O106">
            <v>-4</v>
          </cell>
          <cell r="P106">
            <v>27518</v>
          </cell>
          <cell r="Q106">
            <v>24138</v>
          </cell>
          <cell r="R106">
            <v>3380</v>
          </cell>
        </row>
        <row r="107">
          <cell r="A107" t="str">
            <v>21001</v>
          </cell>
          <cell r="B107" t="str">
            <v>    卫生健康管理事务</v>
          </cell>
          <cell r="C107">
            <v>486</v>
          </cell>
          <cell r="D107">
            <v>-22</v>
          </cell>
        </row>
        <row r="107">
          <cell r="J107">
            <v>-22</v>
          </cell>
        </row>
        <row r="107">
          <cell r="P107">
            <v>464</v>
          </cell>
          <cell r="Q107">
            <v>464</v>
          </cell>
          <cell r="R107">
            <v>0</v>
          </cell>
        </row>
        <row r="108">
          <cell r="A108" t="str">
            <v>21002</v>
          </cell>
          <cell r="B108" t="str">
            <v>    公立医院</v>
          </cell>
          <cell r="C108">
            <v>2440</v>
          </cell>
          <cell r="D108">
            <v>27</v>
          </cell>
        </row>
        <row r="108">
          <cell r="F108">
            <v>38</v>
          </cell>
        </row>
        <row r="108">
          <cell r="O108">
            <v>-11</v>
          </cell>
          <cell r="P108">
            <v>2467</v>
          </cell>
          <cell r="Q108">
            <v>2213</v>
          </cell>
          <cell r="R108">
            <v>254</v>
          </cell>
        </row>
        <row r="109">
          <cell r="A109" t="str">
            <v>21003</v>
          </cell>
          <cell r="B109" t="str">
            <v>    基层医疗卫生机构</v>
          </cell>
          <cell r="C109">
            <v>3248</v>
          </cell>
          <cell r="D109">
            <v>1177</v>
          </cell>
        </row>
        <row r="109">
          <cell r="F109">
            <v>1223</v>
          </cell>
        </row>
        <row r="109">
          <cell r="O109">
            <v>-46</v>
          </cell>
          <cell r="P109">
            <v>4425</v>
          </cell>
          <cell r="Q109">
            <v>3565</v>
          </cell>
          <cell r="R109">
            <v>860</v>
          </cell>
        </row>
        <row r="110">
          <cell r="A110" t="str">
            <v>21004</v>
          </cell>
          <cell r="B110" t="str">
            <v>    公共卫生</v>
          </cell>
          <cell r="C110">
            <v>4452</v>
          </cell>
          <cell r="D110">
            <v>1001</v>
          </cell>
          <cell r="E110">
            <v>33</v>
          </cell>
          <cell r="F110">
            <v>912</v>
          </cell>
        </row>
        <row r="110">
          <cell r="O110">
            <v>56</v>
          </cell>
          <cell r="P110">
            <v>5453</v>
          </cell>
          <cell r="Q110">
            <v>4504</v>
          </cell>
          <cell r="R110">
            <v>949</v>
          </cell>
        </row>
        <row r="111">
          <cell r="A111" t="str">
            <v>21007</v>
          </cell>
          <cell r="B111" t="str">
            <v>    计划生育事务</v>
          </cell>
          <cell r="C111">
            <v>2906</v>
          </cell>
          <cell r="D111">
            <v>407</v>
          </cell>
        </row>
        <row r="111">
          <cell r="F111">
            <v>521</v>
          </cell>
        </row>
        <row r="111">
          <cell r="O111">
            <v>-114</v>
          </cell>
          <cell r="P111">
            <v>3313</v>
          </cell>
          <cell r="Q111">
            <v>3161</v>
          </cell>
          <cell r="R111">
            <v>152</v>
          </cell>
        </row>
        <row r="112">
          <cell r="A112" t="str">
            <v>21011</v>
          </cell>
          <cell r="B112" t="str">
            <v>    行政事业单位医疗</v>
          </cell>
          <cell r="C112">
            <v>6595</v>
          </cell>
          <cell r="D112">
            <v>-1760</v>
          </cell>
          <cell r="E112">
            <v>-3529</v>
          </cell>
          <cell r="F112">
            <v>1533</v>
          </cell>
        </row>
        <row r="112">
          <cell r="O112">
            <v>236</v>
          </cell>
          <cell r="P112">
            <v>4835</v>
          </cell>
          <cell r="Q112">
            <v>4835</v>
          </cell>
          <cell r="R112">
            <v>0</v>
          </cell>
        </row>
        <row r="113">
          <cell r="A113" t="str">
            <v>21012</v>
          </cell>
          <cell r="B113" t="str">
            <v>    财政对基本医疗保险基金的补助</v>
          </cell>
          <cell r="C113">
            <v>1024</v>
          </cell>
          <cell r="D113">
            <v>56</v>
          </cell>
        </row>
        <row r="113">
          <cell r="F113">
            <v>56</v>
          </cell>
        </row>
        <row r="113">
          <cell r="P113">
            <v>1080</v>
          </cell>
          <cell r="Q113">
            <v>1080</v>
          </cell>
          <cell r="R113">
            <v>0</v>
          </cell>
        </row>
        <row r="114">
          <cell r="A114" t="str">
            <v>21013</v>
          </cell>
          <cell r="B114" t="str">
            <v>    医疗救助</v>
          </cell>
          <cell r="C114">
            <v>2428</v>
          </cell>
          <cell r="D114">
            <v>948</v>
          </cell>
        </row>
        <row r="114">
          <cell r="F114">
            <v>1679</v>
          </cell>
        </row>
        <row r="114">
          <cell r="O114">
            <v>-731</v>
          </cell>
          <cell r="P114">
            <v>3376</v>
          </cell>
          <cell r="Q114">
            <v>3376</v>
          </cell>
          <cell r="R114">
            <v>0</v>
          </cell>
        </row>
        <row r="115">
          <cell r="A115" t="str">
            <v>21014</v>
          </cell>
          <cell r="B115" t="str">
            <v>    优抚对象医疗</v>
          </cell>
          <cell r="C115">
            <v>105</v>
          </cell>
          <cell r="D115">
            <v>-37</v>
          </cell>
        </row>
        <row r="115">
          <cell r="F115">
            <v>-693</v>
          </cell>
        </row>
        <row r="115">
          <cell r="J115">
            <v>-18</v>
          </cell>
        </row>
        <row r="115">
          <cell r="O115">
            <v>674</v>
          </cell>
          <cell r="P115">
            <v>68</v>
          </cell>
          <cell r="Q115">
            <v>68</v>
          </cell>
          <cell r="R115">
            <v>0</v>
          </cell>
        </row>
        <row r="116">
          <cell r="A116" t="str">
            <v>21015</v>
          </cell>
          <cell r="B116" t="str">
            <v>    医疗保障管理事务</v>
          </cell>
          <cell r="C116">
            <v>403</v>
          </cell>
          <cell r="D116">
            <v>86</v>
          </cell>
        </row>
        <row r="116">
          <cell r="F116">
            <v>32</v>
          </cell>
        </row>
        <row r="116">
          <cell r="O116">
            <v>54</v>
          </cell>
          <cell r="P116">
            <v>489</v>
          </cell>
          <cell r="Q116">
            <v>398</v>
          </cell>
          <cell r="R116">
            <v>91</v>
          </cell>
        </row>
        <row r="117">
          <cell r="A117" t="str">
            <v>21016</v>
          </cell>
          <cell r="B117" t="str">
            <v>    老龄卫生健康事务</v>
          </cell>
        </row>
        <row r="117">
          <cell r="D117">
            <v>0</v>
          </cell>
        </row>
        <row r="117">
          <cell r="J117">
            <v>-2</v>
          </cell>
        </row>
        <row r="117">
          <cell r="O117">
            <v>2</v>
          </cell>
          <cell r="P117">
            <v>0</v>
          </cell>
        </row>
        <row r="117">
          <cell r="R117">
            <v>0</v>
          </cell>
        </row>
        <row r="118">
          <cell r="A118" t="str">
            <v>21017</v>
          </cell>
          <cell r="B118" t="str">
            <v>    中医药</v>
          </cell>
          <cell r="C118">
            <v>124</v>
          </cell>
          <cell r="D118">
            <v>30</v>
          </cell>
        </row>
        <row r="118">
          <cell r="F118">
            <v>154</v>
          </cell>
        </row>
        <row r="118">
          <cell r="O118">
            <v>-124</v>
          </cell>
          <cell r="P118">
            <v>154</v>
          </cell>
          <cell r="Q118">
            <v>126</v>
          </cell>
          <cell r="R118">
            <v>28</v>
          </cell>
        </row>
        <row r="119">
          <cell r="A119" t="str">
            <v>21018</v>
          </cell>
          <cell r="B119" t="str">
            <v>    疾病预防控制事务</v>
          </cell>
        </row>
        <row r="119">
          <cell r="D119">
            <v>0</v>
          </cell>
        </row>
        <row r="119">
          <cell r="P119">
            <v>0</v>
          </cell>
        </row>
        <row r="119">
          <cell r="R119">
            <v>0</v>
          </cell>
        </row>
        <row r="120">
          <cell r="A120" t="str">
            <v>21099</v>
          </cell>
          <cell r="B120" t="str">
            <v>    其他卫生健康支出</v>
          </cell>
          <cell r="C120">
            <v>1811</v>
          </cell>
          <cell r="D120">
            <v>-417</v>
          </cell>
        </row>
        <row r="120">
          <cell r="F120">
            <v>-459</v>
          </cell>
        </row>
        <row r="120">
          <cell r="J120">
            <v>42</v>
          </cell>
        </row>
        <row r="120">
          <cell r="P120">
            <v>1394</v>
          </cell>
          <cell r="Q120">
            <v>348</v>
          </cell>
          <cell r="R120">
            <v>1046</v>
          </cell>
        </row>
        <row r="121">
          <cell r="A121" t="str">
            <v>211</v>
          </cell>
          <cell r="B121" t="str">
            <v>十、节能环保支出</v>
          </cell>
          <cell r="C121">
            <v>3504</v>
          </cell>
          <cell r="D121">
            <v>-127</v>
          </cell>
          <cell r="E121">
            <v>371</v>
          </cell>
          <cell r="F121">
            <v>-558</v>
          </cell>
          <cell r="G121">
            <v>61</v>
          </cell>
          <cell r="H121">
            <v>0</v>
          </cell>
          <cell r="I121">
            <v>0</v>
          </cell>
          <cell r="J121">
            <v>0</v>
          </cell>
          <cell r="K121">
            <v>0</v>
          </cell>
          <cell r="L121">
            <v>0</v>
          </cell>
          <cell r="M121">
            <v>0</v>
          </cell>
          <cell r="N121">
            <v>0</v>
          </cell>
          <cell r="O121">
            <v>-1</v>
          </cell>
          <cell r="P121">
            <v>3377</v>
          </cell>
          <cell r="Q121">
            <v>1142</v>
          </cell>
          <cell r="R121">
            <v>2235</v>
          </cell>
        </row>
        <row r="122">
          <cell r="A122" t="str">
            <v>21101</v>
          </cell>
          <cell r="B122" t="str">
            <v>    环境保护管理事务</v>
          </cell>
        </row>
        <row r="122">
          <cell r="D122">
            <v>1</v>
          </cell>
        </row>
        <row r="122">
          <cell r="F122">
            <v>1</v>
          </cell>
        </row>
        <row r="122">
          <cell r="P122">
            <v>1</v>
          </cell>
          <cell r="Q122">
            <v>1</v>
          </cell>
          <cell r="R122">
            <v>0</v>
          </cell>
        </row>
        <row r="123">
          <cell r="A123" t="str">
            <v>21102</v>
          </cell>
          <cell r="B123" t="str">
            <v>    环境监测与监察</v>
          </cell>
        </row>
        <row r="123">
          <cell r="D123">
            <v>0</v>
          </cell>
        </row>
        <row r="123">
          <cell r="P123">
            <v>0</v>
          </cell>
        </row>
        <row r="123">
          <cell r="R123">
            <v>0</v>
          </cell>
        </row>
        <row r="124">
          <cell r="A124" t="str">
            <v>21103</v>
          </cell>
          <cell r="B124" t="str">
            <v>    污染防治</v>
          </cell>
          <cell r="C124">
            <v>1169</v>
          </cell>
          <cell r="D124">
            <v>-1082</v>
          </cell>
          <cell r="E124">
            <v>305</v>
          </cell>
          <cell r="F124">
            <v>-1387</v>
          </cell>
        </row>
        <row r="124">
          <cell r="P124">
            <v>87</v>
          </cell>
          <cell r="Q124">
            <v>8</v>
          </cell>
          <cell r="R124">
            <v>79</v>
          </cell>
        </row>
        <row r="125">
          <cell r="A125" t="str">
            <v>21104</v>
          </cell>
          <cell r="B125" t="str">
            <v>    自然生态保护</v>
          </cell>
          <cell r="C125">
            <v>1986</v>
          </cell>
          <cell r="D125">
            <v>6</v>
          </cell>
          <cell r="E125">
            <v>6</v>
          </cell>
        </row>
        <row r="125">
          <cell r="P125">
            <v>1992</v>
          </cell>
          <cell r="Q125">
            <v>1093</v>
          </cell>
          <cell r="R125">
            <v>899</v>
          </cell>
        </row>
        <row r="126">
          <cell r="A126" t="str">
            <v>21105</v>
          </cell>
          <cell r="B126" t="str">
            <v>    天然林保护</v>
          </cell>
          <cell r="C126">
            <v>15</v>
          </cell>
          <cell r="D126">
            <v>1009</v>
          </cell>
        </row>
        <row r="126">
          <cell r="F126">
            <v>1010</v>
          </cell>
        </row>
        <row r="126">
          <cell r="O126">
            <v>-1</v>
          </cell>
          <cell r="P126">
            <v>1024</v>
          </cell>
          <cell r="Q126">
            <v>7</v>
          </cell>
          <cell r="R126">
            <v>1017</v>
          </cell>
        </row>
        <row r="127">
          <cell r="A127" t="str">
            <v>21106</v>
          </cell>
          <cell r="B127" t="str">
            <v>    退耕还林还草</v>
          </cell>
        </row>
        <row r="127">
          <cell r="D127">
            <v>0</v>
          </cell>
        </row>
        <row r="127">
          <cell r="P127">
            <v>0</v>
          </cell>
        </row>
        <row r="127">
          <cell r="R127">
            <v>0</v>
          </cell>
        </row>
        <row r="128">
          <cell r="A128" t="str">
            <v>21107</v>
          </cell>
          <cell r="B128" t="str">
            <v>    风沙荒漠治理</v>
          </cell>
        </row>
        <row r="128">
          <cell r="D128">
            <v>0</v>
          </cell>
        </row>
        <row r="128">
          <cell r="P128">
            <v>0</v>
          </cell>
        </row>
        <row r="128">
          <cell r="R128">
            <v>0</v>
          </cell>
        </row>
        <row r="129">
          <cell r="A129" t="str">
            <v>21108</v>
          </cell>
          <cell r="B129" t="str">
            <v>    退牧还草</v>
          </cell>
        </row>
        <row r="129">
          <cell r="D129">
            <v>0</v>
          </cell>
        </row>
        <row r="129">
          <cell r="P129">
            <v>0</v>
          </cell>
        </row>
        <row r="129">
          <cell r="R129">
            <v>0</v>
          </cell>
        </row>
        <row r="130">
          <cell r="A130" t="str">
            <v>21109</v>
          </cell>
          <cell r="B130" t="str">
            <v>    已垦草原退耕还草</v>
          </cell>
        </row>
        <row r="130">
          <cell r="D130">
            <v>0</v>
          </cell>
        </row>
        <row r="130">
          <cell r="P130">
            <v>0</v>
          </cell>
        </row>
        <row r="130">
          <cell r="R130">
            <v>0</v>
          </cell>
        </row>
        <row r="131">
          <cell r="A131" t="str">
            <v>21110</v>
          </cell>
          <cell r="B131" t="str">
            <v>    能源节约利用</v>
          </cell>
          <cell r="C131">
            <v>34</v>
          </cell>
          <cell r="D131">
            <v>-21</v>
          </cell>
        </row>
        <row r="131">
          <cell r="F131">
            <v>-82</v>
          </cell>
          <cell r="G131">
            <v>61</v>
          </cell>
        </row>
        <row r="131">
          <cell r="P131">
            <v>13</v>
          </cell>
          <cell r="Q131">
            <v>13</v>
          </cell>
          <cell r="R131">
            <v>0</v>
          </cell>
        </row>
        <row r="132">
          <cell r="A132" t="str">
            <v>21111</v>
          </cell>
          <cell r="B132" t="str">
            <v>    污染减排</v>
          </cell>
          <cell r="C132">
            <v>100</v>
          </cell>
          <cell r="D132">
            <v>-100</v>
          </cell>
        </row>
        <row r="132">
          <cell r="F132">
            <v>-100</v>
          </cell>
        </row>
        <row r="132">
          <cell r="P132">
            <v>0</v>
          </cell>
        </row>
        <row r="132">
          <cell r="R132">
            <v>0</v>
          </cell>
        </row>
        <row r="133">
          <cell r="A133" t="str">
            <v>21112</v>
          </cell>
          <cell r="B133" t="str">
            <v>    可再生能源</v>
          </cell>
          <cell r="C133">
            <v>200</v>
          </cell>
          <cell r="D133">
            <v>60</v>
          </cell>
          <cell r="E133">
            <v>60</v>
          </cell>
        </row>
        <row r="133">
          <cell r="P133">
            <v>260</v>
          </cell>
          <cell r="Q133">
            <v>20</v>
          </cell>
          <cell r="R133">
            <v>240</v>
          </cell>
        </row>
        <row r="134">
          <cell r="A134" t="str">
            <v>21113</v>
          </cell>
          <cell r="B134" t="str">
            <v>    循环经济</v>
          </cell>
        </row>
        <row r="134">
          <cell r="D134">
            <v>0</v>
          </cell>
        </row>
        <row r="134">
          <cell r="P134">
            <v>0</v>
          </cell>
        </row>
        <row r="134">
          <cell r="R134">
            <v>0</v>
          </cell>
        </row>
        <row r="135">
          <cell r="A135" t="str">
            <v>21114</v>
          </cell>
          <cell r="B135" t="str">
            <v>    能源管理事务</v>
          </cell>
        </row>
        <row r="135">
          <cell r="D135">
            <v>0</v>
          </cell>
        </row>
        <row r="135">
          <cell r="P135">
            <v>0</v>
          </cell>
        </row>
        <row r="135">
          <cell r="R135">
            <v>0</v>
          </cell>
        </row>
        <row r="136">
          <cell r="A136" t="str">
            <v>21199</v>
          </cell>
          <cell r="B136" t="str">
            <v>    其他节能环保支出</v>
          </cell>
        </row>
        <row r="136">
          <cell r="D136">
            <v>0</v>
          </cell>
        </row>
        <row r="136">
          <cell r="P136">
            <v>0</v>
          </cell>
        </row>
        <row r="136">
          <cell r="R136">
            <v>0</v>
          </cell>
        </row>
        <row r="137">
          <cell r="A137" t="str">
            <v>212</v>
          </cell>
          <cell r="B137" t="str">
            <v>十一、城乡社区支出</v>
          </cell>
          <cell r="C137">
            <v>6356</v>
          </cell>
          <cell r="D137">
            <v>-676</v>
          </cell>
          <cell r="E137">
            <v>-1477</v>
          </cell>
          <cell r="F137">
            <v>1721</v>
          </cell>
          <cell r="G137">
            <v>0</v>
          </cell>
          <cell r="H137">
            <v>0</v>
          </cell>
          <cell r="I137">
            <v>0</v>
          </cell>
          <cell r="J137">
            <v>0</v>
          </cell>
          <cell r="K137">
            <v>0</v>
          </cell>
          <cell r="L137">
            <v>0</v>
          </cell>
          <cell r="M137">
            <v>0</v>
          </cell>
          <cell r="N137">
            <v>0</v>
          </cell>
          <cell r="O137">
            <v>-920</v>
          </cell>
          <cell r="P137">
            <v>5680</v>
          </cell>
          <cell r="Q137">
            <v>3662</v>
          </cell>
          <cell r="R137">
            <v>2018</v>
          </cell>
        </row>
        <row r="138">
          <cell r="A138" t="str">
            <v>21201</v>
          </cell>
          <cell r="B138" t="str">
            <v>      城乡社区管理事务</v>
          </cell>
          <cell r="C138">
            <v>2425</v>
          </cell>
          <cell r="D138">
            <v>-44</v>
          </cell>
          <cell r="E138">
            <v>-1764</v>
          </cell>
          <cell r="F138">
            <v>1720</v>
          </cell>
        </row>
        <row r="138">
          <cell r="P138">
            <v>2381</v>
          </cell>
          <cell r="Q138">
            <v>2381</v>
          </cell>
          <cell r="R138">
            <v>0</v>
          </cell>
        </row>
        <row r="139">
          <cell r="A139" t="str">
            <v>21202</v>
          </cell>
          <cell r="B139" t="str">
            <v>      城乡社区规划与管理</v>
          </cell>
        </row>
        <row r="139">
          <cell r="D139">
            <v>0</v>
          </cell>
        </row>
        <row r="139">
          <cell r="P139">
            <v>0</v>
          </cell>
        </row>
        <row r="139">
          <cell r="R139">
            <v>0</v>
          </cell>
        </row>
        <row r="140">
          <cell r="A140" t="str">
            <v>21203</v>
          </cell>
          <cell r="B140" t="str">
            <v>      城乡社区公共设施</v>
          </cell>
          <cell r="C140">
            <v>3716</v>
          </cell>
          <cell r="D140">
            <v>-772</v>
          </cell>
          <cell r="E140">
            <v>148</v>
          </cell>
        </row>
        <row r="140">
          <cell r="O140">
            <v>-920</v>
          </cell>
          <cell r="P140">
            <v>2944</v>
          </cell>
          <cell r="Q140">
            <v>926</v>
          </cell>
          <cell r="R140">
            <v>2018</v>
          </cell>
        </row>
        <row r="141">
          <cell r="A141" t="str">
            <v>21205</v>
          </cell>
          <cell r="B141" t="str">
            <v>      城乡社区环境卫生</v>
          </cell>
          <cell r="C141">
            <v>4</v>
          </cell>
          <cell r="D141">
            <v>96</v>
          </cell>
        </row>
        <row r="141">
          <cell r="F141">
            <v>96</v>
          </cell>
        </row>
        <row r="141">
          <cell r="P141">
            <v>100</v>
          </cell>
          <cell r="Q141">
            <v>100</v>
          </cell>
          <cell r="R141">
            <v>0</v>
          </cell>
        </row>
        <row r="142">
          <cell r="A142" t="str">
            <v>21206</v>
          </cell>
          <cell r="B142" t="str">
            <v>      建设市场管理与监督</v>
          </cell>
        </row>
        <row r="142">
          <cell r="D142">
            <v>0</v>
          </cell>
        </row>
        <row r="142">
          <cell r="P142">
            <v>0</v>
          </cell>
        </row>
        <row r="142">
          <cell r="R142">
            <v>0</v>
          </cell>
        </row>
        <row r="143">
          <cell r="A143" t="str">
            <v>21299</v>
          </cell>
          <cell r="B143" t="str">
            <v>      其他城乡社区支出</v>
          </cell>
          <cell r="C143">
            <v>211</v>
          </cell>
          <cell r="D143">
            <v>44</v>
          </cell>
          <cell r="E143">
            <v>139</v>
          </cell>
          <cell r="F143">
            <v>-95</v>
          </cell>
        </row>
        <row r="143">
          <cell r="P143">
            <v>255</v>
          </cell>
          <cell r="Q143">
            <v>255</v>
          </cell>
          <cell r="R143">
            <v>0</v>
          </cell>
        </row>
        <row r="144">
          <cell r="A144" t="str">
            <v>213</v>
          </cell>
          <cell r="B144" t="str">
            <v>十二、农林水支出</v>
          </cell>
          <cell r="C144">
            <v>95962</v>
          </cell>
          <cell r="D144">
            <v>66118</v>
          </cell>
          <cell r="E144">
            <v>15974</v>
          </cell>
          <cell r="F144">
            <v>33724</v>
          </cell>
          <cell r="G144">
            <v>225</v>
          </cell>
          <cell r="H144">
            <v>0</v>
          </cell>
          <cell r="I144">
            <v>3462</v>
          </cell>
          <cell r="J144">
            <v>0</v>
          </cell>
          <cell r="K144">
            <v>-374</v>
          </cell>
          <cell r="L144">
            <v>358</v>
          </cell>
          <cell r="M144">
            <v>0</v>
          </cell>
          <cell r="N144">
            <v>200</v>
          </cell>
          <cell r="O144">
            <v>12549</v>
          </cell>
          <cell r="P144">
            <v>162080</v>
          </cell>
          <cell r="Q144">
            <v>110919</v>
          </cell>
          <cell r="R144">
            <v>51161</v>
          </cell>
        </row>
        <row r="145">
          <cell r="A145" t="str">
            <v>21301</v>
          </cell>
          <cell r="B145" t="str">
            <v>      农业</v>
          </cell>
          <cell r="C145">
            <v>16372</v>
          </cell>
          <cell r="D145">
            <v>3315</v>
          </cell>
        </row>
        <row r="145">
          <cell r="G145">
            <v>200</v>
          </cell>
        </row>
        <row r="145">
          <cell r="I145">
            <v>1880</v>
          </cell>
        </row>
        <row r="145">
          <cell r="L145">
            <v>236</v>
          </cell>
        </row>
        <row r="145">
          <cell r="O145">
            <v>999</v>
          </cell>
          <cell r="P145">
            <v>19687</v>
          </cell>
          <cell r="Q145">
            <v>9919</v>
          </cell>
          <cell r="R145">
            <v>9768</v>
          </cell>
        </row>
        <row r="146">
          <cell r="A146" t="str">
            <v>21302</v>
          </cell>
          <cell r="B146" t="str">
            <v>      林业和草原</v>
          </cell>
          <cell r="C146">
            <v>13976</v>
          </cell>
          <cell r="D146">
            <v>9757</v>
          </cell>
          <cell r="E146">
            <v>112</v>
          </cell>
        </row>
        <row r="146">
          <cell r="K146">
            <v>-374</v>
          </cell>
        </row>
        <row r="146">
          <cell r="O146">
            <v>10019</v>
          </cell>
          <cell r="P146">
            <v>23733</v>
          </cell>
          <cell r="Q146">
            <v>13613</v>
          </cell>
          <cell r="R146">
            <v>10120</v>
          </cell>
        </row>
        <row r="147">
          <cell r="A147" t="str">
            <v>21303</v>
          </cell>
          <cell r="B147" t="str">
            <v>      水利</v>
          </cell>
          <cell r="C147">
            <v>4482</v>
          </cell>
          <cell r="D147">
            <v>982</v>
          </cell>
        </row>
        <row r="147">
          <cell r="L147">
            <v>122</v>
          </cell>
        </row>
        <row r="147">
          <cell r="O147">
            <v>860</v>
          </cell>
          <cell r="P147">
            <v>5464</v>
          </cell>
          <cell r="Q147">
            <v>2975</v>
          </cell>
          <cell r="R147">
            <v>2489</v>
          </cell>
        </row>
        <row r="148">
          <cell r="A148" t="str">
            <v>21305</v>
          </cell>
          <cell r="B148" t="str">
            <v>       巩固脱贫攻坚成果衔接乡村振兴</v>
          </cell>
          <cell r="C148">
            <v>46145</v>
          </cell>
          <cell r="D148">
            <v>38088</v>
          </cell>
          <cell r="E148">
            <v>6022</v>
          </cell>
          <cell r="F148">
            <v>29613</v>
          </cell>
        </row>
        <row r="148">
          <cell r="I148">
            <v>1582</v>
          </cell>
        </row>
        <row r="148">
          <cell r="N148">
            <v>200</v>
          </cell>
          <cell r="O148">
            <v>671</v>
          </cell>
          <cell r="P148">
            <v>84233</v>
          </cell>
          <cell r="Q148">
            <v>77182</v>
          </cell>
          <cell r="R148">
            <v>7051</v>
          </cell>
        </row>
        <row r="149">
          <cell r="A149" t="str">
            <v>21307</v>
          </cell>
          <cell r="B149" t="str">
            <v>      农村综合改革</v>
          </cell>
          <cell r="C149">
            <v>8538</v>
          </cell>
          <cell r="D149">
            <v>25</v>
          </cell>
        </row>
        <row r="149">
          <cell r="G149">
            <v>25</v>
          </cell>
        </row>
        <row r="149">
          <cell r="P149">
            <v>8563</v>
          </cell>
          <cell r="Q149">
            <v>5045</v>
          </cell>
          <cell r="R149">
            <v>3518</v>
          </cell>
        </row>
        <row r="150">
          <cell r="A150" t="str">
            <v>21308</v>
          </cell>
          <cell r="B150" t="str">
            <v>      普惠金融发展支出</v>
          </cell>
          <cell r="C150">
            <v>836</v>
          </cell>
          <cell r="D150">
            <v>-265</v>
          </cell>
        </row>
        <row r="150">
          <cell r="F150">
            <v>-265</v>
          </cell>
        </row>
        <row r="150">
          <cell r="P150">
            <v>571</v>
          </cell>
          <cell r="Q150">
            <v>478</v>
          </cell>
          <cell r="R150">
            <v>93</v>
          </cell>
        </row>
        <row r="151">
          <cell r="A151" t="str">
            <v>21309</v>
          </cell>
          <cell r="B151" t="str">
            <v>      目标价格补贴</v>
          </cell>
          <cell r="C151">
            <v>5</v>
          </cell>
          <cell r="D151">
            <v>-4</v>
          </cell>
        </row>
        <row r="151">
          <cell r="F151">
            <v>-4</v>
          </cell>
        </row>
        <row r="151">
          <cell r="P151">
            <v>1</v>
          </cell>
          <cell r="Q151">
            <v>1</v>
          </cell>
          <cell r="R151">
            <v>0</v>
          </cell>
        </row>
        <row r="152">
          <cell r="A152" t="str">
            <v>21399</v>
          </cell>
          <cell r="B152" t="str">
            <v>      其他农林水支出</v>
          </cell>
          <cell r="C152">
            <v>5608</v>
          </cell>
          <cell r="D152">
            <v>14220</v>
          </cell>
          <cell r="E152">
            <v>9840</v>
          </cell>
          <cell r="F152">
            <v>4380</v>
          </cell>
        </row>
        <row r="152">
          <cell r="P152">
            <v>19828</v>
          </cell>
          <cell r="Q152">
            <v>1706</v>
          </cell>
          <cell r="R152">
            <v>18122</v>
          </cell>
        </row>
        <row r="153">
          <cell r="A153" t="str">
            <v>214</v>
          </cell>
          <cell r="B153" t="str">
            <v>十三、交通运输支出</v>
          </cell>
          <cell r="C153">
            <v>9259</v>
          </cell>
          <cell r="D153">
            <v>7304</v>
          </cell>
          <cell r="E153">
            <v>0</v>
          </cell>
          <cell r="F153">
            <v>8583</v>
          </cell>
          <cell r="G153">
            <v>240</v>
          </cell>
          <cell r="H153">
            <v>0</v>
          </cell>
          <cell r="I153">
            <v>0</v>
          </cell>
          <cell r="J153">
            <v>0</v>
          </cell>
          <cell r="K153">
            <v>-2000</v>
          </cell>
          <cell r="L153">
            <v>0</v>
          </cell>
          <cell r="M153">
            <v>0</v>
          </cell>
          <cell r="N153">
            <v>0</v>
          </cell>
          <cell r="O153">
            <v>481</v>
          </cell>
          <cell r="P153">
            <v>16563</v>
          </cell>
          <cell r="Q153">
            <v>2003</v>
          </cell>
          <cell r="R153">
            <v>14560</v>
          </cell>
        </row>
        <row r="154">
          <cell r="A154" t="str">
            <v>21401</v>
          </cell>
          <cell r="B154" t="str">
            <v>      公路水路运输</v>
          </cell>
          <cell r="C154">
            <v>8796</v>
          </cell>
          <cell r="D154">
            <v>7283</v>
          </cell>
        </row>
        <row r="154">
          <cell r="F154">
            <v>8859</v>
          </cell>
          <cell r="G154">
            <v>112</v>
          </cell>
        </row>
        <row r="154">
          <cell r="J154">
            <v>312</v>
          </cell>
          <cell r="K154">
            <v>-2000</v>
          </cell>
        </row>
        <row r="154">
          <cell r="P154">
            <v>16079</v>
          </cell>
          <cell r="Q154">
            <v>1651</v>
          </cell>
          <cell r="R154">
            <v>14428</v>
          </cell>
        </row>
        <row r="155">
          <cell r="A155" t="str">
            <v>21402</v>
          </cell>
          <cell r="B155" t="str">
            <v>      铁路运输</v>
          </cell>
          <cell r="C155">
            <v>7</v>
          </cell>
          <cell r="D155">
            <v>-7</v>
          </cell>
        </row>
        <row r="155">
          <cell r="F155">
            <v>-7</v>
          </cell>
        </row>
        <row r="155">
          <cell r="P155">
            <v>0</v>
          </cell>
        </row>
        <row r="155">
          <cell r="R155">
            <v>0</v>
          </cell>
        </row>
        <row r="156">
          <cell r="A156" t="str">
            <v>21403</v>
          </cell>
          <cell r="B156" t="str">
            <v>      民用航空运输</v>
          </cell>
        </row>
        <row r="156">
          <cell r="D156">
            <v>0</v>
          </cell>
        </row>
        <row r="156">
          <cell r="P156">
            <v>0</v>
          </cell>
        </row>
        <row r="156">
          <cell r="R156">
            <v>0</v>
          </cell>
        </row>
        <row r="157">
          <cell r="A157" t="str">
            <v>21404</v>
          </cell>
          <cell r="B157" t="str">
            <v>      成品油价格改革对交通运输的补贴</v>
          </cell>
        </row>
        <row r="157">
          <cell r="D157">
            <v>0</v>
          </cell>
        </row>
        <row r="157">
          <cell r="P157">
            <v>0</v>
          </cell>
        </row>
        <row r="157">
          <cell r="R157">
            <v>0</v>
          </cell>
        </row>
        <row r="158">
          <cell r="A158" t="str">
            <v>21405</v>
          </cell>
          <cell r="B158" t="str">
            <v>      邮政业支出</v>
          </cell>
        </row>
        <row r="158">
          <cell r="D158">
            <v>0</v>
          </cell>
        </row>
        <row r="158">
          <cell r="P158">
            <v>0</v>
          </cell>
        </row>
        <row r="158">
          <cell r="R158">
            <v>0</v>
          </cell>
        </row>
        <row r="159">
          <cell r="A159" t="str">
            <v>21406</v>
          </cell>
          <cell r="B159" t="str">
            <v>      车辆购置税支出</v>
          </cell>
        </row>
        <row r="159">
          <cell r="D159">
            <v>0</v>
          </cell>
        </row>
        <row r="159">
          <cell r="J159">
            <v>-312</v>
          </cell>
        </row>
        <row r="159">
          <cell r="O159">
            <v>312</v>
          </cell>
          <cell r="P159">
            <v>0</v>
          </cell>
        </row>
        <row r="159">
          <cell r="R159">
            <v>0</v>
          </cell>
        </row>
        <row r="160">
          <cell r="A160" t="str">
            <v>21499</v>
          </cell>
          <cell r="B160" t="str">
            <v>      其他交通运输支出</v>
          </cell>
          <cell r="C160">
            <v>456</v>
          </cell>
          <cell r="D160">
            <v>28</v>
          </cell>
        </row>
        <row r="160">
          <cell r="F160">
            <v>-269</v>
          </cell>
          <cell r="G160">
            <v>128</v>
          </cell>
        </row>
        <row r="160">
          <cell r="O160">
            <v>169</v>
          </cell>
          <cell r="P160">
            <v>484</v>
          </cell>
          <cell r="Q160">
            <v>352</v>
          </cell>
          <cell r="R160">
            <v>132</v>
          </cell>
        </row>
        <row r="161">
          <cell r="A161" t="str">
            <v>215</v>
          </cell>
          <cell r="B161" t="str">
            <v>十四、资源勘探信息等支出</v>
          </cell>
          <cell r="C161">
            <v>1260</v>
          </cell>
          <cell r="D161">
            <v>603</v>
          </cell>
          <cell r="E161">
            <v>221</v>
          </cell>
          <cell r="F161">
            <v>232</v>
          </cell>
          <cell r="G161">
            <v>0</v>
          </cell>
          <cell r="H161">
            <v>0</v>
          </cell>
          <cell r="I161">
            <v>0</v>
          </cell>
          <cell r="J161">
            <v>0</v>
          </cell>
          <cell r="K161">
            <v>0</v>
          </cell>
          <cell r="L161">
            <v>0</v>
          </cell>
          <cell r="M161">
            <v>0</v>
          </cell>
          <cell r="N161">
            <v>0</v>
          </cell>
          <cell r="O161">
            <v>150</v>
          </cell>
          <cell r="P161">
            <v>1863</v>
          </cell>
          <cell r="Q161">
            <v>1110</v>
          </cell>
          <cell r="R161">
            <v>753</v>
          </cell>
        </row>
        <row r="162">
          <cell r="A162" t="str">
            <v>21501</v>
          </cell>
          <cell r="B162" t="str">
            <v>      资源勘探开发</v>
          </cell>
        </row>
        <row r="162">
          <cell r="D162">
            <v>37</v>
          </cell>
        </row>
        <row r="162">
          <cell r="F162">
            <v>37</v>
          </cell>
        </row>
        <row r="162">
          <cell r="P162">
            <v>37</v>
          </cell>
          <cell r="Q162">
            <v>37</v>
          </cell>
          <cell r="R162">
            <v>0</v>
          </cell>
        </row>
        <row r="163">
          <cell r="A163" t="str">
            <v>21502</v>
          </cell>
          <cell r="B163" t="str">
            <v>      制造业</v>
          </cell>
        </row>
        <row r="163">
          <cell r="D163">
            <v>477</v>
          </cell>
          <cell r="E163">
            <v>221</v>
          </cell>
          <cell r="F163">
            <v>106</v>
          </cell>
        </row>
        <row r="163">
          <cell r="O163">
            <v>150</v>
          </cell>
          <cell r="P163">
            <v>477</v>
          </cell>
          <cell r="Q163">
            <v>324</v>
          </cell>
          <cell r="R163">
            <v>153</v>
          </cell>
        </row>
        <row r="164">
          <cell r="A164" t="str">
            <v>21503</v>
          </cell>
          <cell r="B164" t="str">
            <v>      建筑业</v>
          </cell>
        </row>
        <row r="164">
          <cell r="D164">
            <v>0</v>
          </cell>
        </row>
        <row r="164">
          <cell r="P164">
            <v>0</v>
          </cell>
        </row>
        <row r="164">
          <cell r="R164">
            <v>0</v>
          </cell>
        </row>
        <row r="165">
          <cell r="A165" t="str">
            <v>21505</v>
          </cell>
          <cell r="B165" t="str">
            <v>      工业和信息产业监管</v>
          </cell>
        </row>
        <row r="165">
          <cell r="D165">
            <v>49</v>
          </cell>
        </row>
        <row r="165">
          <cell r="F165">
            <v>49</v>
          </cell>
        </row>
        <row r="165">
          <cell r="P165">
            <v>49</v>
          </cell>
          <cell r="Q165">
            <v>49</v>
          </cell>
          <cell r="R165">
            <v>0</v>
          </cell>
        </row>
        <row r="166">
          <cell r="A166" t="str">
            <v>21507</v>
          </cell>
          <cell r="B166" t="str">
            <v>      国有资产监管</v>
          </cell>
        </row>
        <row r="166">
          <cell r="D166">
            <v>0</v>
          </cell>
        </row>
        <row r="166">
          <cell r="P166">
            <v>0</v>
          </cell>
        </row>
        <row r="166">
          <cell r="R166">
            <v>0</v>
          </cell>
        </row>
        <row r="167">
          <cell r="A167" t="str">
            <v>21508</v>
          </cell>
          <cell r="B167" t="str">
            <v>      支持中小企业发展和管理支出</v>
          </cell>
        </row>
        <row r="167">
          <cell r="D167">
            <v>0</v>
          </cell>
        </row>
        <row r="167">
          <cell r="P167">
            <v>0</v>
          </cell>
        </row>
        <row r="167">
          <cell r="R167">
            <v>0</v>
          </cell>
        </row>
        <row r="168">
          <cell r="A168" t="str">
            <v>21599</v>
          </cell>
          <cell r="B168" t="str">
            <v>      其他资源勘探信息等支出</v>
          </cell>
          <cell r="C168">
            <v>1260</v>
          </cell>
          <cell r="D168">
            <v>40</v>
          </cell>
        </row>
        <row r="168">
          <cell r="F168">
            <v>40</v>
          </cell>
        </row>
        <row r="168">
          <cell r="P168">
            <v>1300</v>
          </cell>
          <cell r="Q168">
            <v>700</v>
          </cell>
          <cell r="R168">
            <v>600</v>
          </cell>
        </row>
        <row r="169">
          <cell r="A169" t="str">
            <v>216</v>
          </cell>
          <cell r="B169" t="str">
            <v>十五、商业服务业等支出</v>
          </cell>
          <cell r="C169">
            <v>548</v>
          </cell>
          <cell r="D169">
            <v>-10</v>
          </cell>
          <cell r="E169">
            <v>0</v>
          </cell>
          <cell r="F169">
            <v>-10</v>
          </cell>
          <cell r="G169">
            <v>0</v>
          </cell>
          <cell r="H169">
            <v>0</v>
          </cell>
          <cell r="I169">
            <v>0</v>
          </cell>
          <cell r="J169">
            <v>0</v>
          </cell>
          <cell r="K169">
            <v>0</v>
          </cell>
          <cell r="L169">
            <v>0</v>
          </cell>
          <cell r="M169">
            <v>0</v>
          </cell>
          <cell r="N169">
            <v>0</v>
          </cell>
          <cell r="O169">
            <v>0</v>
          </cell>
          <cell r="P169">
            <v>538</v>
          </cell>
          <cell r="Q169">
            <v>538</v>
          </cell>
          <cell r="R169">
            <v>0</v>
          </cell>
        </row>
        <row r="170">
          <cell r="A170" t="str">
            <v>21602</v>
          </cell>
          <cell r="B170" t="str">
            <v>      商业流通事务</v>
          </cell>
          <cell r="C170">
            <v>548</v>
          </cell>
          <cell r="D170">
            <v>-10</v>
          </cell>
        </row>
        <row r="170">
          <cell r="F170">
            <v>-10</v>
          </cell>
          <cell r="G170">
            <v>0</v>
          </cell>
          <cell r="H170">
            <v>0</v>
          </cell>
        </row>
        <row r="170">
          <cell r="P170">
            <v>538</v>
          </cell>
          <cell r="Q170">
            <v>538</v>
          </cell>
          <cell r="R170">
            <v>0</v>
          </cell>
        </row>
        <row r="171">
          <cell r="A171" t="str">
            <v>21606</v>
          </cell>
          <cell r="B171" t="str">
            <v>      涉外发展服务支出</v>
          </cell>
          <cell r="C171">
            <v>0</v>
          </cell>
          <cell r="D171">
            <v>0</v>
          </cell>
          <cell r="E171">
            <v>0</v>
          </cell>
          <cell r="F171">
            <v>0</v>
          </cell>
          <cell r="G171">
            <v>0</v>
          </cell>
          <cell r="H171">
            <v>0</v>
          </cell>
        </row>
        <row r="171">
          <cell r="P171">
            <v>0</v>
          </cell>
          <cell r="Q171">
            <v>0</v>
          </cell>
          <cell r="R171">
            <v>0</v>
          </cell>
        </row>
        <row r="172">
          <cell r="A172" t="str">
            <v>21699</v>
          </cell>
          <cell r="B172" t="str">
            <v>      其他商业服务业等支出</v>
          </cell>
          <cell r="C172">
            <v>0</v>
          </cell>
          <cell r="D172">
            <v>0</v>
          </cell>
        </row>
        <row r="172">
          <cell r="F172">
            <v>0</v>
          </cell>
          <cell r="G172">
            <v>0</v>
          </cell>
          <cell r="H172">
            <v>0</v>
          </cell>
        </row>
        <row r="172">
          <cell r="P172">
            <v>0</v>
          </cell>
          <cell r="Q172">
            <v>0</v>
          </cell>
          <cell r="R172">
            <v>0</v>
          </cell>
        </row>
        <row r="173">
          <cell r="A173" t="str">
            <v>217</v>
          </cell>
          <cell r="B173" t="str">
            <v>十六、金融支出</v>
          </cell>
          <cell r="C173">
            <v>2207</v>
          </cell>
          <cell r="D173">
            <v>-2142</v>
          </cell>
          <cell r="E173">
            <v>-563</v>
          </cell>
          <cell r="F173">
            <v>-1582</v>
          </cell>
          <cell r="G173">
            <v>0</v>
          </cell>
          <cell r="H173">
            <v>0</v>
          </cell>
          <cell r="I173">
            <v>0</v>
          </cell>
          <cell r="J173">
            <v>0</v>
          </cell>
          <cell r="K173">
            <v>0</v>
          </cell>
          <cell r="L173">
            <v>0</v>
          </cell>
          <cell r="M173">
            <v>0</v>
          </cell>
          <cell r="N173">
            <v>0</v>
          </cell>
          <cell r="O173">
            <v>3</v>
          </cell>
          <cell r="P173">
            <v>65</v>
          </cell>
          <cell r="Q173">
            <v>65</v>
          </cell>
          <cell r="R173">
            <v>0</v>
          </cell>
        </row>
        <row r="174">
          <cell r="A174" t="str">
            <v>21701</v>
          </cell>
          <cell r="B174" t="str">
            <v>      金融部门行政支出</v>
          </cell>
          <cell r="C174">
            <v>0</v>
          </cell>
          <cell r="D174">
            <v>0</v>
          </cell>
          <cell r="E174">
            <v>0</v>
          </cell>
          <cell r="F174">
            <v>0</v>
          </cell>
          <cell r="G174">
            <v>0</v>
          </cell>
          <cell r="H174">
            <v>0</v>
          </cell>
        </row>
        <row r="174">
          <cell r="P174">
            <v>0</v>
          </cell>
          <cell r="Q174">
            <v>0</v>
          </cell>
          <cell r="R174">
            <v>0</v>
          </cell>
        </row>
        <row r="175">
          <cell r="A175" t="str">
            <v>21703</v>
          </cell>
          <cell r="B175" t="str">
            <v>      金融发展支出</v>
          </cell>
          <cell r="C175">
            <v>2207</v>
          </cell>
          <cell r="D175">
            <v>-2142</v>
          </cell>
          <cell r="E175">
            <v>-563</v>
          </cell>
          <cell r="F175">
            <v>-1582</v>
          </cell>
          <cell r="G175">
            <v>0</v>
          </cell>
        </row>
        <row r="175">
          <cell r="O175">
            <v>3</v>
          </cell>
          <cell r="P175">
            <v>65</v>
          </cell>
          <cell r="Q175">
            <v>65</v>
          </cell>
          <cell r="R175">
            <v>0</v>
          </cell>
        </row>
        <row r="176">
          <cell r="A176" t="str">
            <v>21799</v>
          </cell>
          <cell r="B176" t="str">
            <v>      其他金融支出</v>
          </cell>
          <cell r="C176">
            <v>0</v>
          </cell>
          <cell r="D176">
            <v>0</v>
          </cell>
        </row>
        <row r="176">
          <cell r="G176">
            <v>0</v>
          </cell>
          <cell r="H176">
            <v>0</v>
          </cell>
        </row>
        <row r="176">
          <cell r="P176">
            <v>0</v>
          </cell>
        </row>
        <row r="176">
          <cell r="R176">
            <v>0</v>
          </cell>
        </row>
        <row r="177">
          <cell r="A177" t="str">
            <v>219</v>
          </cell>
          <cell r="B177" t="str">
            <v>十七、援助其他地区支出</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row>
        <row r="178">
          <cell r="A178" t="str">
            <v>21901</v>
          </cell>
          <cell r="B178" t="str">
            <v>      一般公共服务</v>
          </cell>
          <cell r="C178">
            <v>0</v>
          </cell>
          <cell r="D178">
            <v>0</v>
          </cell>
          <cell r="E178">
            <v>0</v>
          </cell>
          <cell r="F178">
            <v>0</v>
          </cell>
          <cell r="G178">
            <v>0</v>
          </cell>
          <cell r="H178">
            <v>0</v>
          </cell>
        </row>
        <row r="178">
          <cell r="P178">
            <v>0</v>
          </cell>
          <cell r="Q178">
            <v>0</v>
          </cell>
          <cell r="R178">
            <v>0</v>
          </cell>
        </row>
        <row r="179">
          <cell r="A179" t="str">
            <v>21902</v>
          </cell>
          <cell r="B179" t="str">
            <v>      教育</v>
          </cell>
          <cell r="C179">
            <v>0</v>
          </cell>
          <cell r="D179">
            <v>0</v>
          </cell>
          <cell r="E179">
            <v>0</v>
          </cell>
          <cell r="F179">
            <v>0</v>
          </cell>
          <cell r="G179">
            <v>0</v>
          </cell>
          <cell r="H179">
            <v>0</v>
          </cell>
        </row>
        <row r="179">
          <cell r="P179">
            <v>0</v>
          </cell>
          <cell r="Q179">
            <v>0</v>
          </cell>
          <cell r="R179">
            <v>0</v>
          </cell>
        </row>
        <row r="180">
          <cell r="A180" t="str">
            <v>21903</v>
          </cell>
          <cell r="B180" t="str">
            <v>      文化体育与传媒</v>
          </cell>
          <cell r="C180">
            <v>0</v>
          </cell>
          <cell r="D180">
            <v>0</v>
          </cell>
          <cell r="E180">
            <v>0</v>
          </cell>
          <cell r="F180">
            <v>0</v>
          </cell>
          <cell r="G180">
            <v>0</v>
          </cell>
          <cell r="H180">
            <v>0</v>
          </cell>
        </row>
        <row r="180">
          <cell r="P180">
            <v>0</v>
          </cell>
          <cell r="Q180">
            <v>0</v>
          </cell>
          <cell r="R180">
            <v>0</v>
          </cell>
        </row>
        <row r="181">
          <cell r="A181" t="str">
            <v>21904</v>
          </cell>
          <cell r="B181" t="str">
            <v>      医疗卫生</v>
          </cell>
          <cell r="C181">
            <v>0</v>
          </cell>
          <cell r="D181">
            <v>0</v>
          </cell>
          <cell r="E181">
            <v>0</v>
          </cell>
          <cell r="F181">
            <v>0</v>
          </cell>
          <cell r="G181">
            <v>0</v>
          </cell>
          <cell r="H181">
            <v>0</v>
          </cell>
        </row>
        <row r="181">
          <cell r="P181">
            <v>0</v>
          </cell>
          <cell r="Q181">
            <v>0</v>
          </cell>
          <cell r="R181">
            <v>0</v>
          </cell>
        </row>
        <row r="182">
          <cell r="A182" t="str">
            <v>21905</v>
          </cell>
          <cell r="B182" t="str">
            <v>      节能环保</v>
          </cell>
          <cell r="C182">
            <v>0</v>
          </cell>
          <cell r="D182">
            <v>0</v>
          </cell>
          <cell r="E182">
            <v>0</v>
          </cell>
          <cell r="F182">
            <v>0</v>
          </cell>
          <cell r="G182">
            <v>0</v>
          </cell>
          <cell r="H182">
            <v>0</v>
          </cell>
        </row>
        <row r="182">
          <cell r="P182">
            <v>0</v>
          </cell>
          <cell r="Q182">
            <v>0</v>
          </cell>
          <cell r="R182">
            <v>0</v>
          </cell>
        </row>
        <row r="183">
          <cell r="A183" t="str">
            <v>21906</v>
          </cell>
          <cell r="B183" t="str">
            <v>      农业</v>
          </cell>
          <cell r="C183">
            <v>0</v>
          </cell>
          <cell r="D183">
            <v>0</v>
          </cell>
          <cell r="E183">
            <v>0</v>
          </cell>
          <cell r="F183">
            <v>0</v>
          </cell>
          <cell r="G183">
            <v>0</v>
          </cell>
          <cell r="H183">
            <v>0</v>
          </cell>
        </row>
        <row r="183">
          <cell r="P183">
            <v>0</v>
          </cell>
          <cell r="Q183">
            <v>0</v>
          </cell>
          <cell r="R183">
            <v>0</v>
          </cell>
        </row>
        <row r="184">
          <cell r="A184" t="str">
            <v>21907</v>
          </cell>
          <cell r="B184" t="str">
            <v>      交通运输</v>
          </cell>
          <cell r="C184">
            <v>0</v>
          </cell>
          <cell r="D184">
            <v>0</v>
          </cell>
          <cell r="E184">
            <v>0</v>
          </cell>
          <cell r="F184">
            <v>0</v>
          </cell>
          <cell r="G184">
            <v>0</v>
          </cell>
          <cell r="H184">
            <v>0</v>
          </cell>
        </row>
        <row r="184">
          <cell r="P184">
            <v>0</v>
          </cell>
          <cell r="Q184">
            <v>0</v>
          </cell>
          <cell r="R184">
            <v>0</v>
          </cell>
        </row>
        <row r="185">
          <cell r="A185" t="str">
            <v>21908</v>
          </cell>
          <cell r="B185" t="str">
            <v>      住房保障</v>
          </cell>
          <cell r="C185">
            <v>0</v>
          </cell>
          <cell r="D185">
            <v>0</v>
          </cell>
          <cell r="E185">
            <v>0</v>
          </cell>
          <cell r="F185">
            <v>0</v>
          </cell>
          <cell r="G185">
            <v>0</v>
          </cell>
          <cell r="H185">
            <v>0</v>
          </cell>
        </row>
        <row r="185">
          <cell r="P185">
            <v>0</v>
          </cell>
          <cell r="Q185">
            <v>0</v>
          </cell>
          <cell r="R185">
            <v>0</v>
          </cell>
        </row>
        <row r="186">
          <cell r="A186" t="str">
            <v>21999</v>
          </cell>
          <cell r="B186" t="str">
            <v>      其他支出</v>
          </cell>
          <cell r="C186">
            <v>0</v>
          </cell>
          <cell r="D186">
            <v>0</v>
          </cell>
          <cell r="E186">
            <v>0</v>
          </cell>
          <cell r="F186">
            <v>0</v>
          </cell>
          <cell r="G186">
            <v>0</v>
          </cell>
          <cell r="H186">
            <v>0</v>
          </cell>
        </row>
        <row r="186">
          <cell r="P186">
            <v>0</v>
          </cell>
          <cell r="Q186">
            <v>0</v>
          </cell>
          <cell r="R186">
            <v>0</v>
          </cell>
        </row>
        <row r="187">
          <cell r="A187" t="str">
            <v>220</v>
          </cell>
          <cell r="B187" t="str">
            <v>十八、自然资源海洋气象等支出</v>
          </cell>
          <cell r="C187">
            <v>1655</v>
          </cell>
          <cell r="D187">
            <v>-405</v>
          </cell>
          <cell r="E187">
            <v>0</v>
          </cell>
          <cell r="F187">
            <v>-405</v>
          </cell>
          <cell r="G187">
            <v>0</v>
          </cell>
          <cell r="H187">
            <v>0</v>
          </cell>
          <cell r="I187">
            <v>0</v>
          </cell>
          <cell r="J187">
            <v>0</v>
          </cell>
          <cell r="K187">
            <v>0</v>
          </cell>
          <cell r="L187">
            <v>0</v>
          </cell>
          <cell r="M187">
            <v>0</v>
          </cell>
          <cell r="N187">
            <v>0</v>
          </cell>
          <cell r="O187">
            <v>0</v>
          </cell>
          <cell r="P187">
            <v>1250</v>
          </cell>
          <cell r="Q187">
            <v>1185</v>
          </cell>
          <cell r="R187">
            <v>65</v>
          </cell>
        </row>
        <row r="188">
          <cell r="A188" t="str">
            <v>22001</v>
          </cell>
          <cell r="B188" t="str">
            <v>      自然资源事务</v>
          </cell>
          <cell r="C188">
            <v>1514</v>
          </cell>
          <cell r="D188">
            <v>-317</v>
          </cell>
        </row>
        <row r="188">
          <cell r="F188">
            <v>-317</v>
          </cell>
        </row>
        <row r="188">
          <cell r="P188">
            <v>1197</v>
          </cell>
          <cell r="Q188">
            <v>1132</v>
          </cell>
          <cell r="R188">
            <v>65</v>
          </cell>
        </row>
        <row r="189">
          <cell r="A189" t="str">
            <v>22002</v>
          </cell>
          <cell r="B189" t="str">
            <v>      海洋管理事务</v>
          </cell>
        </row>
        <row r="189">
          <cell r="D189">
            <v>0</v>
          </cell>
        </row>
        <row r="189">
          <cell r="P189">
            <v>0</v>
          </cell>
        </row>
        <row r="189">
          <cell r="R189">
            <v>0</v>
          </cell>
        </row>
        <row r="190">
          <cell r="A190" t="str">
            <v>22003</v>
          </cell>
          <cell r="B190" t="str">
            <v>      测绘事务</v>
          </cell>
        </row>
        <row r="190">
          <cell r="D190">
            <v>0</v>
          </cell>
        </row>
        <row r="190">
          <cell r="P190">
            <v>0</v>
          </cell>
        </row>
        <row r="190">
          <cell r="R190">
            <v>0</v>
          </cell>
        </row>
        <row r="191">
          <cell r="A191" t="str">
            <v>22005</v>
          </cell>
          <cell r="B191" t="str">
            <v>      气象事务</v>
          </cell>
          <cell r="C191">
            <v>141</v>
          </cell>
          <cell r="D191">
            <v>-88</v>
          </cell>
        </row>
        <row r="191">
          <cell r="F191">
            <v>-88</v>
          </cell>
        </row>
        <row r="191">
          <cell r="P191">
            <v>53</v>
          </cell>
          <cell r="Q191">
            <v>53</v>
          </cell>
          <cell r="R191">
            <v>0</v>
          </cell>
        </row>
        <row r="192">
          <cell r="A192" t="str">
            <v>22099</v>
          </cell>
          <cell r="B192" t="str">
            <v>      其他自然资源海洋气象等支出</v>
          </cell>
        </row>
        <row r="192">
          <cell r="D192">
            <v>0</v>
          </cell>
        </row>
        <row r="192">
          <cell r="P192">
            <v>0</v>
          </cell>
        </row>
        <row r="192">
          <cell r="R192">
            <v>0</v>
          </cell>
        </row>
        <row r="193">
          <cell r="A193" t="str">
            <v>221</v>
          </cell>
          <cell r="B193" t="str">
            <v>十九、住房保障支出</v>
          </cell>
          <cell r="C193">
            <v>11231</v>
          </cell>
          <cell r="D193">
            <v>-1144</v>
          </cell>
          <cell r="E193">
            <v>248</v>
          </cell>
          <cell r="F193">
            <v>-1460</v>
          </cell>
          <cell r="G193">
            <v>0</v>
          </cell>
          <cell r="H193">
            <v>0</v>
          </cell>
          <cell r="I193">
            <v>0</v>
          </cell>
          <cell r="J193">
            <v>0</v>
          </cell>
          <cell r="K193">
            <v>0</v>
          </cell>
          <cell r="L193">
            <v>68</v>
          </cell>
          <cell r="M193">
            <v>0</v>
          </cell>
          <cell r="N193">
            <v>0</v>
          </cell>
          <cell r="O193">
            <v>0</v>
          </cell>
          <cell r="P193">
            <v>10087</v>
          </cell>
          <cell r="Q193">
            <v>9689</v>
          </cell>
          <cell r="R193">
            <v>398</v>
          </cell>
        </row>
        <row r="194">
          <cell r="A194" t="str">
            <v>22101</v>
          </cell>
          <cell r="B194" t="str">
            <v>      保障性安居工程支出</v>
          </cell>
          <cell r="C194">
            <v>345</v>
          </cell>
          <cell r="D194">
            <v>583</v>
          </cell>
          <cell r="E194">
            <v>248</v>
          </cell>
          <cell r="F194">
            <v>267</v>
          </cell>
        </row>
        <row r="194">
          <cell r="L194">
            <v>68</v>
          </cell>
        </row>
        <row r="194">
          <cell r="P194">
            <v>928</v>
          </cell>
          <cell r="Q194">
            <v>530</v>
          </cell>
          <cell r="R194">
            <v>398</v>
          </cell>
        </row>
        <row r="195">
          <cell r="A195" t="str">
            <v>22102</v>
          </cell>
          <cell r="B195" t="str">
            <v>      住房改革支出</v>
          </cell>
          <cell r="C195">
            <v>10886</v>
          </cell>
          <cell r="D195">
            <v>-1727</v>
          </cell>
        </row>
        <row r="195">
          <cell r="F195">
            <v>-1727</v>
          </cell>
        </row>
        <row r="195">
          <cell r="P195">
            <v>9159</v>
          </cell>
          <cell r="Q195">
            <v>9159</v>
          </cell>
          <cell r="R195">
            <v>0</v>
          </cell>
        </row>
        <row r="196">
          <cell r="A196" t="str">
            <v>22103</v>
          </cell>
          <cell r="B196" t="str">
            <v>      城乡社区住宅</v>
          </cell>
        </row>
        <row r="196">
          <cell r="D196">
            <v>0</v>
          </cell>
        </row>
        <row r="196">
          <cell r="P196">
            <v>0</v>
          </cell>
        </row>
        <row r="196">
          <cell r="R196">
            <v>0</v>
          </cell>
        </row>
        <row r="197">
          <cell r="A197" t="str">
            <v>222</v>
          </cell>
          <cell r="B197" t="str">
            <v>二十、粮油物资储备支出</v>
          </cell>
          <cell r="C197">
            <v>182</v>
          </cell>
          <cell r="D197">
            <v>-36</v>
          </cell>
          <cell r="E197">
            <v>-1</v>
          </cell>
          <cell r="F197">
            <v>-35</v>
          </cell>
          <cell r="G197">
            <v>0</v>
          </cell>
          <cell r="H197">
            <v>0</v>
          </cell>
          <cell r="I197">
            <v>0</v>
          </cell>
          <cell r="J197">
            <v>0</v>
          </cell>
          <cell r="K197">
            <v>0</v>
          </cell>
          <cell r="L197">
            <v>0</v>
          </cell>
          <cell r="M197">
            <v>0</v>
          </cell>
          <cell r="N197">
            <v>0</v>
          </cell>
          <cell r="O197">
            <v>0</v>
          </cell>
          <cell r="P197">
            <v>146</v>
          </cell>
          <cell r="Q197">
            <v>146</v>
          </cell>
          <cell r="R197">
            <v>0</v>
          </cell>
        </row>
        <row r="198">
          <cell r="A198" t="str">
            <v>22201</v>
          </cell>
          <cell r="B198" t="str">
            <v>      粮油物资事务</v>
          </cell>
          <cell r="C198">
            <v>152</v>
          </cell>
          <cell r="D198">
            <v>-36</v>
          </cell>
          <cell r="E198">
            <v>-1</v>
          </cell>
          <cell r="F198">
            <v>-35</v>
          </cell>
          <cell r="G198">
            <v>0</v>
          </cell>
        </row>
        <row r="198">
          <cell r="O198">
            <v>0</v>
          </cell>
          <cell r="P198">
            <v>116</v>
          </cell>
          <cell r="Q198">
            <v>116</v>
          </cell>
          <cell r="R198">
            <v>0</v>
          </cell>
        </row>
        <row r="199">
          <cell r="A199" t="str">
            <v>22203</v>
          </cell>
          <cell r="B199" t="str">
            <v>      能源储备</v>
          </cell>
        </row>
        <row r="199">
          <cell r="D199">
            <v>0</v>
          </cell>
          <cell r="E199">
            <v>0</v>
          </cell>
          <cell r="F199">
            <v>0</v>
          </cell>
          <cell r="G199">
            <v>0</v>
          </cell>
          <cell r="H199">
            <v>0</v>
          </cell>
        </row>
        <row r="199">
          <cell r="O199">
            <v>0</v>
          </cell>
          <cell r="P199">
            <v>0</v>
          </cell>
          <cell r="Q199">
            <v>0</v>
          </cell>
          <cell r="R199">
            <v>0</v>
          </cell>
        </row>
        <row r="200">
          <cell r="A200" t="str">
            <v>22204</v>
          </cell>
          <cell r="B200" t="str">
            <v>      粮油储备</v>
          </cell>
          <cell r="C200">
            <v>30</v>
          </cell>
          <cell r="D200">
            <v>0</v>
          </cell>
          <cell r="E200">
            <v>0</v>
          </cell>
          <cell r="F200">
            <v>0</v>
          </cell>
          <cell r="G200">
            <v>0</v>
          </cell>
        </row>
        <row r="200">
          <cell r="O200">
            <v>0</v>
          </cell>
          <cell r="P200">
            <v>30</v>
          </cell>
          <cell r="Q200">
            <v>30</v>
          </cell>
          <cell r="R200">
            <v>0</v>
          </cell>
        </row>
        <row r="201">
          <cell r="A201" t="str">
            <v>22205</v>
          </cell>
          <cell r="B201" t="str">
            <v>      重要商品储备</v>
          </cell>
        </row>
        <row r="201">
          <cell r="D201">
            <v>0</v>
          </cell>
          <cell r="E201">
            <v>0</v>
          </cell>
          <cell r="F201">
            <v>0</v>
          </cell>
          <cell r="G201">
            <v>0</v>
          </cell>
        </row>
        <row r="201">
          <cell r="O201">
            <v>0</v>
          </cell>
          <cell r="P201">
            <v>0</v>
          </cell>
          <cell r="Q201">
            <v>0</v>
          </cell>
          <cell r="R201">
            <v>0</v>
          </cell>
        </row>
        <row r="202">
          <cell r="A202" t="str">
            <v>224</v>
          </cell>
          <cell r="B202" t="str">
            <v>二十一、灾害防治及应急管理支出</v>
          </cell>
          <cell r="C202">
            <v>3633</v>
          </cell>
          <cell r="D202">
            <v>678</v>
          </cell>
          <cell r="E202">
            <v>1084</v>
          </cell>
          <cell r="F202">
            <v>-217</v>
          </cell>
          <cell r="G202">
            <v>0</v>
          </cell>
          <cell r="H202">
            <v>0</v>
          </cell>
          <cell r="I202">
            <v>0</v>
          </cell>
          <cell r="J202">
            <v>0</v>
          </cell>
          <cell r="K202">
            <v>0</v>
          </cell>
          <cell r="L202">
            <v>0</v>
          </cell>
          <cell r="M202">
            <v>0</v>
          </cell>
          <cell r="N202">
            <v>0</v>
          </cell>
          <cell r="O202">
            <v>-189</v>
          </cell>
          <cell r="P202">
            <v>4311</v>
          </cell>
          <cell r="Q202">
            <v>2461</v>
          </cell>
          <cell r="R202">
            <v>1850</v>
          </cell>
        </row>
        <row r="203">
          <cell r="A203" t="str">
            <v>22401</v>
          </cell>
          <cell r="B203" t="str">
            <v>      应急管理事务</v>
          </cell>
          <cell r="C203">
            <v>425</v>
          </cell>
          <cell r="D203">
            <v>-15</v>
          </cell>
        </row>
        <row r="203">
          <cell r="F203">
            <v>-15</v>
          </cell>
        </row>
        <row r="203">
          <cell r="P203">
            <v>410</v>
          </cell>
          <cell r="Q203">
            <v>410</v>
          </cell>
          <cell r="R203">
            <v>0</v>
          </cell>
        </row>
        <row r="204">
          <cell r="A204" t="str">
            <v>22402</v>
          </cell>
          <cell r="B204" t="str">
            <v>      消防事务</v>
          </cell>
          <cell r="C204">
            <v>909</v>
          </cell>
          <cell r="D204">
            <v>-230</v>
          </cell>
        </row>
        <row r="204">
          <cell r="F204">
            <v>-230</v>
          </cell>
        </row>
        <row r="204">
          <cell r="P204">
            <v>679</v>
          </cell>
          <cell r="Q204">
            <v>679</v>
          </cell>
          <cell r="R204">
            <v>0</v>
          </cell>
        </row>
        <row r="205">
          <cell r="A205" t="str">
            <v>22403</v>
          </cell>
          <cell r="B205" t="str">
            <v>      森林消防事务</v>
          </cell>
        </row>
        <row r="205">
          <cell r="D205">
            <v>0</v>
          </cell>
        </row>
        <row r="205">
          <cell r="P205">
            <v>0</v>
          </cell>
        </row>
        <row r="205">
          <cell r="R205">
            <v>0</v>
          </cell>
        </row>
        <row r="206">
          <cell r="A206" t="str">
            <v>22404</v>
          </cell>
          <cell r="B206" t="str">
            <v>      煤矿安全</v>
          </cell>
          <cell r="C206">
            <v>5</v>
          </cell>
          <cell r="D206">
            <v>-5</v>
          </cell>
        </row>
        <row r="206">
          <cell r="F206">
            <v>-5</v>
          </cell>
        </row>
        <row r="206">
          <cell r="P206">
            <v>0</v>
          </cell>
        </row>
        <row r="206">
          <cell r="R206">
            <v>0</v>
          </cell>
        </row>
        <row r="207">
          <cell r="A207" t="str">
            <v>22405</v>
          </cell>
          <cell r="B207" t="str">
            <v>      地震事务</v>
          </cell>
        </row>
        <row r="207">
          <cell r="D207">
            <v>0</v>
          </cell>
        </row>
        <row r="207">
          <cell r="P207">
            <v>0</v>
          </cell>
        </row>
        <row r="207">
          <cell r="R207">
            <v>0</v>
          </cell>
        </row>
        <row r="208">
          <cell r="A208" t="str">
            <v>22406</v>
          </cell>
          <cell r="B208" t="str">
            <v>      自然灾害防治</v>
          </cell>
          <cell r="C208">
            <v>1532</v>
          </cell>
          <cell r="D208">
            <v>936</v>
          </cell>
          <cell r="E208">
            <v>1084</v>
          </cell>
        </row>
        <row r="208">
          <cell r="O208">
            <v>-148</v>
          </cell>
          <cell r="P208">
            <v>2468</v>
          </cell>
          <cell r="Q208">
            <v>1211</v>
          </cell>
          <cell r="R208">
            <v>1257</v>
          </cell>
        </row>
        <row r="209">
          <cell r="A209" t="str">
            <v>22407</v>
          </cell>
          <cell r="B209" t="str">
            <v>      自然灾害救灾及恢复重建支出</v>
          </cell>
        </row>
        <row r="209">
          <cell r="D209">
            <v>101</v>
          </cell>
        </row>
        <row r="209">
          <cell r="F209">
            <v>101</v>
          </cell>
        </row>
        <row r="209">
          <cell r="P209">
            <v>101</v>
          </cell>
          <cell r="Q209">
            <v>17</v>
          </cell>
          <cell r="R209">
            <v>84</v>
          </cell>
        </row>
        <row r="210">
          <cell r="A210" t="str">
            <v>22499</v>
          </cell>
          <cell r="B210" t="str">
            <v>      其他灾害防治及应急管理支出</v>
          </cell>
          <cell r="C210">
            <v>762</v>
          </cell>
          <cell r="D210">
            <v>-109</v>
          </cell>
        </row>
        <row r="210">
          <cell r="F210">
            <v>-68</v>
          </cell>
        </row>
        <row r="210">
          <cell r="O210">
            <v>-41</v>
          </cell>
          <cell r="P210">
            <v>653</v>
          </cell>
          <cell r="Q210">
            <v>144</v>
          </cell>
          <cell r="R210">
            <v>509</v>
          </cell>
        </row>
        <row r="211">
          <cell r="A211" t="str">
            <v>227</v>
          </cell>
          <cell r="B211" t="str">
            <v>二十二、预备费</v>
          </cell>
          <cell r="C211">
            <v>5000</v>
          </cell>
          <cell r="D211">
            <v>-5000</v>
          </cell>
          <cell r="E211">
            <v>0</v>
          </cell>
          <cell r="F211">
            <v>0</v>
          </cell>
          <cell r="G211">
            <v>0</v>
          </cell>
        </row>
        <row r="211">
          <cell r="I211">
            <v>-5000</v>
          </cell>
        </row>
        <row r="211">
          <cell r="K211">
            <v>0</v>
          </cell>
          <cell r="L211">
            <v>0</v>
          </cell>
          <cell r="M211">
            <v>0</v>
          </cell>
          <cell r="N211">
            <v>0</v>
          </cell>
          <cell r="O211">
            <v>0</v>
          </cell>
          <cell r="P211">
            <v>0</v>
          </cell>
        </row>
        <row r="211">
          <cell r="R211">
            <v>0</v>
          </cell>
        </row>
        <row r="212">
          <cell r="A212" t="str">
            <v>229</v>
          </cell>
          <cell r="B212" t="str">
            <v>二十三、其他支出</v>
          </cell>
          <cell r="C212">
            <v>0</v>
          </cell>
          <cell r="D212">
            <v>6</v>
          </cell>
          <cell r="E212">
            <v>0</v>
          </cell>
          <cell r="F212">
            <v>6</v>
          </cell>
          <cell r="G212">
            <v>0</v>
          </cell>
          <cell r="H212">
            <v>0</v>
          </cell>
          <cell r="I212">
            <v>0</v>
          </cell>
          <cell r="J212">
            <v>0</v>
          </cell>
          <cell r="K212">
            <v>0</v>
          </cell>
          <cell r="L212">
            <v>0</v>
          </cell>
          <cell r="M212">
            <v>0</v>
          </cell>
          <cell r="N212">
            <v>0</v>
          </cell>
          <cell r="O212">
            <v>0</v>
          </cell>
          <cell r="P212">
            <v>6</v>
          </cell>
          <cell r="Q212">
            <v>6</v>
          </cell>
          <cell r="R212">
            <v>0</v>
          </cell>
        </row>
        <row r="213">
          <cell r="A213" t="str">
            <v>22902</v>
          </cell>
          <cell r="B213" t="str">
            <v>        年初预留</v>
          </cell>
        </row>
        <row r="213">
          <cell r="D213">
            <v>0</v>
          </cell>
          <cell r="E213">
            <v>0</v>
          </cell>
          <cell r="F213">
            <v>0</v>
          </cell>
          <cell r="G213">
            <v>0</v>
          </cell>
          <cell r="H213">
            <v>0</v>
          </cell>
        </row>
        <row r="213">
          <cell r="O213">
            <v>0</v>
          </cell>
          <cell r="P213">
            <v>0</v>
          </cell>
        </row>
        <row r="213">
          <cell r="R213">
            <v>0</v>
          </cell>
        </row>
        <row r="214">
          <cell r="A214" t="str">
            <v>22999</v>
          </cell>
          <cell r="B214" t="str">
            <v>        其他支出</v>
          </cell>
        </row>
        <row r="214">
          <cell r="D214">
            <v>6</v>
          </cell>
          <cell r="E214">
            <v>0</v>
          </cell>
          <cell r="F214">
            <v>6</v>
          </cell>
        </row>
        <row r="214">
          <cell r="P214">
            <v>6</v>
          </cell>
          <cell r="Q214">
            <v>6</v>
          </cell>
          <cell r="R214">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opLeftCell="A44" workbookViewId="0">
      <selection activeCell="F5" sqref="F5"/>
    </sheetView>
  </sheetViews>
  <sheetFormatPr defaultColWidth="9" defaultRowHeight="14" outlineLevelCol="6"/>
  <cols>
    <col min="1" max="16384" width="9" style="575"/>
  </cols>
  <sheetData>
    <row r="1" s="575" customFormat="1" ht="25.5" customHeight="1" spans="1:7">
      <c r="A1" s="576" t="s">
        <v>0</v>
      </c>
      <c r="B1" s="576"/>
      <c r="C1" s="576"/>
      <c r="D1" s="576"/>
      <c r="E1" s="576"/>
      <c r="F1" s="577"/>
      <c r="G1" s="577"/>
    </row>
    <row r="2" s="575" customFormat="1" ht="25.5" customHeight="1" spans="1:1">
      <c r="A2" s="582" t="s">
        <v>1</v>
      </c>
    </row>
    <row r="3" s="575" customFormat="1" ht="25.5" customHeight="1" spans="2:5">
      <c r="B3" s="583" t="s">
        <v>2</v>
      </c>
      <c r="E3" s="580"/>
    </row>
    <row r="4" s="575" customFormat="1" ht="25.5" customHeight="1" spans="2:5">
      <c r="B4" s="583" t="s">
        <v>3</v>
      </c>
      <c r="E4" s="580"/>
    </row>
    <row r="5" s="575" customFormat="1" ht="25.5" customHeight="1" spans="2:5">
      <c r="B5" s="583" t="s">
        <v>4</v>
      </c>
      <c r="E5" s="580"/>
    </row>
    <row r="6" s="575" customFormat="1" ht="25.5" customHeight="1" spans="2:2">
      <c r="B6" s="583" t="s">
        <v>5</v>
      </c>
    </row>
    <row r="7" s="575" customFormat="1" ht="25.5" customHeight="1" spans="1:1">
      <c r="A7" s="581" t="s">
        <v>6</v>
      </c>
    </row>
    <row r="8" s="575" customFormat="1" ht="25.5" customHeight="1" spans="2:4">
      <c r="B8" s="583" t="s">
        <v>7</v>
      </c>
      <c r="D8" s="580"/>
    </row>
    <row r="9" s="575" customFormat="1" ht="25.5" customHeight="1" spans="2:4">
      <c r="B9" s="583" t="s">
        <v>8</v>
      </c>
      <c r="D9" s="580"/>
    </row>
    <row r="10" s="575" customFormat="1" ht="25.5" customHeight="1" spans="1:4">
      <c r="A10" s="581" t="s">
        <v>9</v>
      </c>
      <c r="D10" s="580"/>
    </row>
    <row r="11" s="575" customFormat="1" ht="25.5" customHeight="1" spans="2:2">
      <c r="B11" s="583" t="s">
        <v>10</v>
      </c>
    </row>
    <row r="12" s="575" customFormat="1" ht="25.5" customHeight="1" spans="1:1">
      <c r="A12" s="581" t="s">
        <v>11</v>
      </c>
    </row>
    <row r="13" s="575" customFormat="1" ht="25.5" customHeight="1" spans="2:2">
      <c r="B13" s="583" t="s">
        <v>12</v>
      </c>
    </row>
    <row r="14" s="575" customFormat="1" ht="25.5" customHeight="1" spans="1:1">
      <c r="A14" s="581" t="s">
        <v>13</v>
      </c>
    </row>
    <row r="15" s="575" customFormat="1" ht="25.5" customHeight="1" spans="2:2">
      <c r="B15" s="583" t="s">
        <v>14</v>
      </c>
    </row>
    <row r="16" s="575" customFormat="1" ht="25.5" customHeight="1" spans="1:1">
      <c r="A16" s="581" t="s">
        <v>15</v>
      </c>
    </row>
    <row r="17" s="575" customFormat="1" ht="28.5" customHeight="1" spans="2:2">
      <c r="B17" s="583" t="s">
        <v>16</v>
      </c>
    </row>
    <row r="18" s="575" customFormat="1" ht="25.5" customHeight="1" spans="1:1">
      <c r="A18" s="582" t="s">
        <v>17</v>
      </c>
    </row>
    <row r="19" s="575" customFormat="1" ht="28.5" customHeight="1" spans="2:5">
      <c r="B19" s="583" t="s">
        <v>18</v>
      </c>
      <c r="E19" s="580"/>
    </row>
    <row r="20" s="575" customFormat="1" ht="28.5" customHeight="1" spans="2:2">
      <c r="B20" s="583" t="s">
        <v>19</v>
      </c>
    </row>
    <row r="21" s="575" customFormat="1" ht="28.5" customHeight="1" spans="2:2">
      <c r="B21" s="583" t="s">
        <v>20</v>
      </c>
    </row>
    <row r="22" s="575" customFormat="1" ht="28.5" customHeight="1" spans="2:2">
      <c r="B22" s="583" t="s">
        <v>21</v>
      </c>
    </row>
    <row r="23" s="575" customFormat="1" ht="28.5" customHeight="1" spans="2:2">
      <c r="B23" s="583" t="s">
        <v>22</v>
      </c>
    </row>
    <row r="24" s="575" customFormat="1" ht="28.5" customHeight="1" spans="2:2">
      <c r="B24" s="579" t="s">
        <v>23</v>
      </c>
    </row>
    <row r="25" s="575" customFormat="1" ht="28.5" customHeight="1" spans="2:2">
      <c r="B25" s="579" t="s">
        <v>24</v>
      </c>
    </row>
    <row r="26" s="575" customFormat="1" ht="28.5" customHeight="1" spans="2:2">
      <c r="B26" s="579" t="s">
        <v>25</v>
      </c>
    </row>
    <row r="27" s="575" customFormat="1" ht="28.5" customHeight="1" spans="2:2">
      <c r="B27" s="579" t="s">
        <v>26</v>
      </c>
    </row>
    <row r="28" s="575" customFormat="1" ht="28.5" customHeight="1" spans="1:2">
      <c r="A28" s="578" t="s">
        <v>27</v>
      </c>
      <c r="B28" s="579"/>
    </row>
    <row r="29" s="575" customFormat="1" ht="28.5" customHeight="1" spans="2:2">
      <c r="B29" s="579" t="s">
        <v>28</v>
      </c>
    </row>
    <row r="30" s="575" customFormat="1" ht="25.5" customHeight="1" spans="1:1">
      <c r="A30" s="582" t="s">
        <v>29</v>
      </c>
    </row>
    <row r="31" s="575" customFormat="1" ht="28.5" customHeight="1" spans="2:2">
      <c r="B31" s="583" t="s">
        <v>30</v>
      </c>
    </row>
    <row r="32" s="575" customFormat="1" ht="28.5" customHeight="1" spans="2:2">
      <c r="B32" s="583" t="s">
        <v>31</v>
      </c>
    </row>
    <row r="33" s="575" customFormat="1" ht="28.5" customHeight="1" spans="2:2">
      <c r="B33" s="583" t="s">
        <v>32</v>
      </c>
    </row>
    <row r="34" s="575" customFormat="1" ht="28.5" customHeight="1" spans="2:2">
      <c r="B34" s="583" t="s">
        <v>33</v>
      </c>
    </row>
    <row r="35" s="575" customFormat="1" ht="28.5" customHeight="1" spans="2:2">
      <c r="B35" s="579" t="s">
        <v>34</v>
      </c>
    </row>
    <row r="36" s="575" customFormat="1" ht="28.5" customHeight="1" spans="2:2">
      <c r="B36" s="579" t="s">
        <v>35</v>
      </c>
    </row>
    <row r="37" s="575" customFormat="1" ht="28.5" customHeight="1" spans="2:2">
      <c r="B37" s="579" t="s">
        <v>36</v>
      </c>
    </row>
    <row r="38" s="575" customFormat="1" ht="25.5" customHeight="1" spans="1:1">
      <c r="A38" s="582" t="s">
        <v>37</v>
      </c>
    </row>
    <row r="39" s="575" customFormat="1" ht="28.5" customHeight="1" spans="2:2">
      <c r="B39" s="579" t="s">
        <v>38</v>
      </c>
    </row>
    <row r="40" s="575" customFormat="1" ht="25.5" customHeight="1" spans="1:1">
      <c r="A40" s="582" t="s">
        <v>39</v>
      </c>
    </row>
    <row r="41" s="575" customFormat="1" ht="28.5" customHeight="1" spans="2:2">
      <c r="B41" s="583" t="s">
        <v>40</v>
      </c>
    </row>
    <row r="42" s="575" customFormat="1" ht="28.5" customHeight="1" spans="2:2">
      <c r="B42" s="583" t="s">
        <v>41</v>
      </c>
    </row>
    <row r="43" s="575" customFormat="1" ht="28.5" customHeight="1" spans="2:2">
      <c r="B43" s="579" t="s">
        <v>42</v>
      </c>
    </row>
    <row r="44" s="575" customFormat="1" ht="25.5" customHeight="1" spans="1:1">
      <c r="A44" s="582" t="s">
        <v>43</v>
      </c>
    </row>
    <row r="45" s="575" customFormat="1" ht="28.5" customHeight="1" spans="2:2">
      <c r="B45" s="583" t="s">
        <v>44</v>
      </c>
    </row>
    <row r="46" s="575" customFormat="1" ht="28.5" customHeight="1" spans="2:2">
      <c r="B46" s="583" t="s">
        <v>45</v>
      </c>
    </row>
    <row r="47" s="575" customFormat="1" ht="28.5" customHeight="1" spans="2:2">
      <c r="B47" s="579" t="s">
        <v>46</v>
      </c>
    </row>
    <row r="48" s="575" customFormat="1" ht="28.5" customHeight="1" spans="2:2">
      <c r="B48" s="579" t="s">
        <v>47</v>
      </c>
    </row>
    <row r="49" s="575" customFormat="1" ht="25.5" customHeight="1" spans="1:1">
      <c r="A49" s="582" t="s">
        <v>48</v>
      </c>
    </row>
    <row r="50" s="575" customFormat="1" ht="28.5" customHeight="1" spans="2:2">
      <c r="B50" s="583" t="s">
        <v>49</v>
      </c>
    </row>
    <row r="51" s="575" customFormat="1" ht="28.5" customHeight="1" spans="2:2">
      <c r="B51" s="579"/>
    </row>
    <row r="52" s="575" customFormat="1" ht="28.5" customHeight="1" spans="2:2">
      <c r="B52" s="579"/>
    </row>
  </sheetData>
  <mergeCells count="1">
    <mergeCell ref="A1:E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SheetLayoutView="60" workbookViewId="0">
      <selection activeCell="A1" sqref="$A1:$XFD65536"/>
    </sheetView>
  </sheetViews>
  <sheetFormatPr defaultColWidth="9" defaultRowHeight="15"/>
  <cols>
    <col min="1" max="1" width="7.125" style="240" customWidth="1"/>
    <col min="2" max="2" width="22.5" style="363" customWidth="1"/>
    <col min="3" max="3" width="7" style="364" customWidth="1"/>
    <col min="4" max="4" width="6.75" style="364" customWidth="1"/>
    <col min="5" max="5" width="6.625" style="364" customWidth="1"/>
    <col min="6" max="6" width="7.75" style="364" customWidth="1"/>
    <col min="7" max="14" width="9.375" style="364" customWidth="1"/>
    <col min="15" max="15" width="15.125" style="364" customWidth="1"/>
    <col min="16" max="16384" width="9" style="240"/>
  </cols>
  <sheetData>
    <row r="1" s="359" customFormat="1" ht="33.75" customHeight="1" spans="1:15">
      <c r="A1" s="622" t="s">
        <v>1032</v>
      </c>
      <c r="B1" s="365"/>
      <c r="C1" s="365"/>
      <c r="D1" s="365"/>
      <c r="E1" s="365"/>
      <c r="F1" s="365"/>
      <c r="G1" s="365"/>
      <c r="H1" s="365"/>
      <c r="I1" s="365"/>
      <c r="J1" s="365"/>
      <c r="K1" s="365"/>
      <c r="L1" s="365"/>
      <c r="M1" s="365"/>
      <c r="N1" s="365"/>
      <c r="O1" s="365"/>
    </row>
    <row r="2" s="240" customFormat="1" ht="29" customHeight="1" spans="2:15">
      <c r="B2" s="366"/>
      <c r="C2" s="367"/>
      <c r="D2" s="367"/>
      <c r="E2" s="367"/>
      <c r="F2" s="367"/>
      <c r="G2" s="367"/>
      <c r="H2" s="367"/>
      <c r="I2" s="367"/>
      <c r="J2" s="367"/>
      <c r="K2" s="367"/>
      <c r="L2" s="367"/>
      <c r="M2" s="367"/>
      <c r="N2" s="367"/>
      <c r="O2" s="380" t="s">
        <v>51</v>
      </c>
    </row>
    <row r="3" s="360" customFormat="1" ht="37" customHeight="1" spans="1:15">
      <c r="A3" s="368" t="s">
        <v>1033</v>
      </c>
      <c r="B3" s="369" t="s">
        <v>1034</v>
      </c>
      <c r="C3" s="623" t="s">
        <v>1009</v>
      </c>
      <c r="D3" s="10"/>
      <c r="E3" s="623" t="s">
        <v>217</v>
      </c>
      <c r="F3" s="10"/>
      <c r="G3" s="624" t="s">
        <v>1035</v>
      </c>
      <c r="H3" s="371"/>
      <c r="I3" s="371"/>
      <c r="J3" s="371"/>
      <c r="K3" s="371"/>
      <c r="L3" s="371"/>
      <c r="M3" s="371"/>
      <c r="N3" s="381"/>
      <c r="O3" s="23" t="s">
        <v>1036</v>
      </c>
    </row>
    <row r="4" s="361" customFormat="1" ht="54" customHeight="1" spans="1:15">
      <c r="A4" s="372"/>
      <c r="B4" s="373"/>
      <c r="C4" s="135" t="s">
        <v>1037</v>
      </c>
      <c r="D4" s="10" t="s">
        <v>1038</v>
      </c>
      <c r="E4" s="135" t="s">
        <v>1037</v>
      </c>
      <c r="F4" s="10" t="s">
        <v>1038</v>
      </c>
      <c r="G4" s="135" t="s">
        <v>1037</v>
      </c>
      <c r="H4" s="135" t="s">
        <v>1039</v>
      </c>
      <c r="I4" s="600" t="s">
        <v>1040</v>
      </c>
      <c r="J4" s="135" t="s">
        <v>1041</v>
      </c>
      <c r="K4" s="10" t="s">
        <v>1038</v>
      </c>
      <c r="L4" s="10" t="s">
        <v>1039</v>
      </c>
      <c r="M4" s="623" t="s">
        <v>1040</v>
      </c>
      <c r="N4" s="10" t="s">
        <v>1041</v>
      </c>
      <c r="O4" s="24"/>
    </row>
    <row r="5" s="361" customFormat="1" ht="37.5" customHeight="1" spans="1:15">
      <c r="A5" s="374"/>
      <c r="B5" s="135" t="s">
        <v>959</v>
      </c>
      <c r="C5" s="375">
        <f t="shared" ref="C5:G5" si="0">C6+C7+C8</f>
        <v>426</v>
      </c>
      <c r="D5" s="375">
        <f t="shared" si="0"/>
        <v>426</v>
      </c>
      <c r="E5" s="375">
        <f t="shared" si="0"/>
        <v>757</v>
      </c>
      <c r="F5" s="375">
        <f t="shared" si="0"/>
        <v>731</v>
      </c>
      <c r="G5" s="375">
        <f t="shared" si="0"/>
        <v>486</v>
      </c>
      <c r="H5" s="376">
        <f t="shared" ref="H5:H8" si="1">G5/E5*100</f>
        <v>64.2</v>
      </c>
      <c r="I5" s="375">
        <f t="shared" ref="I5:M5" si="2">I6+I7+I8</f>
        <v>60</v>
      </c>
      <c r="J5" s="376">
        <f t="shared" ref="J5:J10" si="3">I5/C5*100</f>
        <v>14.08</v>
      </c>
      <c r="K5" s="375">
        <f t="shared" si="2"/>
        <v>486</v>
      </c>
      <c r="L5" s="382">
        <f t="shared" ref="L5:L8" si="4">K5/F5*100</f>
        <v>66.48</v>
      </c>
      <c r="M5" s="13">
        <f t="shared" si="2"/>
        <v>60</v>
      </c>
      <c r="N5" s="382">
        <f t="shared" ref="N5:N10" si="5">M5/D5*100</f>
        <v>14.08</v>
      </c>
      <c r="O5" s="383"/>
    </row>
    <row r="6" s="361" customFormat="1" ht="33.75" customHeight="1" spans="1:15">
      <c r="A6" s="377">
        <v>1</v>
      </c>
      <c r="B6" s="378" t="s">
        <v>1042</v>
      </c>
      <c r="C6" s="375"/>
      <c r="D6" s="375"/>
      <c r="E6" s="375"/>
      <c r="F6" s="375"/>
      <c r="G6" s="375"/>
      <c r="H6" s="376"/>
      <c r="I6" s="375"/>
      <c r="J6" s="376"/>
      <c r="K6" s="375"/>
      <c r="L6" s="382"/>
      <c r="M6" s="13"/>
      <c r="N6" s="382"/>
      <c r="O6" s="383"/>
    </row>
    <row r="7" s="360" customFormat="1" ht="34.5" customHeight="1" spans="1:15">
      <c r="A7" s="377">
        <v>2</v>
      </c>
      <c r="B7" s="378" t="s">
        <v>1043</v>
      </c>
      <c r="C7" s="379">
        <v>73</v>
      </c>
      <c r="D7" s="16">
        <v>73</v>
      </c>
      <c r="E7" s="379">
        <v>231</v>
      </c>
      <c r="F7" s="16">
        <v>218</v>
      </c>
      <c r="G7" s="375">
        <v>97</v>
      </c>
      <c r="H7" s="376">
        <f t="shared" si="1"/>
        <v>41.99</v>
      </c>
      <c r="I7" s="375">
        <f t="shared" ref="I7:I10" si="6">G7-C7</f>
        <v>24</v>
      </c>
      <c r="J7" s="376">
        <f t="shared" si="3"/>
        <v>32.88</v>
      </c>
      <c r="K7" s="16">
        <v>97</v>
      </c>
      <c r="L7" s="382">
        <f t="shared" si="4"/>
        <v>44.5</v>
      </c>
      <c r="M7" s="13">
        <f t="shared" ref="M7:M10" si="7">K7-D7</f>
        <v>24</v>
      </c>
      <c r="N7" s="382">
        <f t="shared" si="5"/>
        <v>32.88</v>
      </c>
      <c r="O7" s="384"/>
    </row>
    <row r="8" s="360" customFormat="1" ht="36" customHeight="1" spans="1:15">
      <c r="A8" s="377"/>
      <c r="B8" s="135" t="s">
        <v>1044</v>
      </c>
      <c r="C8" s="379">
        <f t="shared" ref="C8:G8" si="8">SUM(C9:C10)</f>
        <v>353</v>
      </c>
      <c r="D8" s="379">
        <f t="shared" si="8"/>
        <v>353</v>
      </c>
      <c r="E8" s="379">
        <f t="shared" si="8"/>
        <v>526</v>
      </c>
      <c r="F8" s="379">
        <f t="shared" si="8"/>
        <v>513</v>
      </c>
      <c r="G8" s="379">
        <f t="shared" si="8"/>
        <v>389</v>
      </c>
      <c r="H8" s="376">
        <f t="shared" si="1"/>
        <v>73.95</v>
      </c>
      <c r="I8" s="375">
        <f t="shared" si="6"/>
        <v>36</v>
      </c>
      <c r="J8" s="376">
        <f t="shared" si="3"/>
        <v>10.2</v>
      </c>
      <c r="K8" s="379">
        <f>SUM(K9:K10)</f>
        <v>389</v>
      </c>
      <c r="L8" s="382">
        <f t="shared" si="4"/>
        <v>75.83</v>
      </c>
      <c r="M8" s="13">
        <f t="shared" si="7"/>
        <v>36</v>
      </c>
      <c r="N8" s="382">
        <f t="shared" si="5"/>
        <v>10.2</v>
      </c>
      <c r="O8" s="384"/>
    </row>
    <row r="9" s="360" customFormat="1" ht="36" customHeight="1" spans="1:15">
      <c r="A9" s="377">
        <v>3</v>
      </c>
      <c r="B9" s="625" t="s">
        <v>1045</v>
      </c>
      <c r="C9" s="379"/>
      <c r="D9" s="16"/>
      <c r="E9" s="379"/>
      <c r="F9" s="16"/>
      <c r="G9" s="375">
        <v>12</v>
      </c>
      <c r="H9" s="376"/>
      <c r="I9" s="375">
        <f t="shared" si="6"/>
        <v>12</v>
      </c>
      <c r="J9" s="376" t="e">
        <f t="shared" si="3"/>
        <v>#DIV/0!</v>
      </c>
      <c r="K9" s="16">
        <v>12</v>
      </c>
      <c r="L9" s="382"/>
      <c r="M9" s="13">
        <f t="shared" si="7"/>
        <v>12</v>
      </c>
      <c r="N9" s="382" t="e">
        <f t="shared" si="5"/>
        <v>#DIV/0!</v>
      </c>
      <c r="O9" s="25"/>
    </row>
    <row r="10" s="360" customFormat="1" ht="31.5" customHeight="1" spans="1:15">
      <c r="A10" s="377">
        <v>4</v>
      </c>
      <c r="B10" s="378" t="s">
        <v>1046</v>
      </c>
      <c r="C10" s="379">
        <v>353</v>
      </c>
      <c r="D10" s="16">
        <v>353</v>
      </c>
      <c r="E10" s="379">
        <v>526</v>
      </c>
      <c r="F10" s="16">
        <v>513</v>
      </c>
      <c r="G10" s="375">
        <v>377</v>
      </c>
      <c r="H10" s="376">
        <f>G10/E10*100</f>
        <v>71.67</v>
      </c>
      <c r="I10" s="375">
        <f t="shared" si="6"/>
        <v>24</v>
      </c>
      <c r="J10" s="376">
        <f t="shared" si="3"/>
        <v>6.8</v>
      </c>
      <c r="K10" s="16">
        <v>377</v>
      </c>
      <c r="L10" s="382">
        <f>K10/F10*100</f>
        <v>73.49</v>
      </c>
      <c r="M10" s="13">
        <f t="shared" si="7"/>
        <v>24</v>
      </c>
      <c r="N10" s="382">
        <f t="shared" si="5"/>
        <v>6.8</v>
      </c>
      <c r="O10" s="384"/>
    </row>
    <row r="11" s="362" customFormat="1" ht="13.35" customHeight="1" spans="2:15">
      <c r="B11" s="28"/>
      <c r="C11" s="28"/>
      <c r="D11" s="28"/>
      <c r="E11" s="28"/>
      <c r="F11" s="28"/>
      <c r="G11" s="28"/>
      <c r="H11" s="28"/>
      <c r="I11" s="28"/>
      <c r="J11" s="28"/>
      <c r="K11" s="28"/>
      <c r="L11" s="28"/>
      <c r="M11" s="28"/>
      <c r="N11" s="28"/>
      <c r="O11" s="18"/>
    </row>
    <row r="12" ht="13.35" customHeight="1"/>
    <row r="13" ht="13.35" customHeight="1"/>
    <row r="14" customHeight="1"/>
    <row r="15" customHeight="1"/>
    <row r="16" customHeight="1"/>
    <row r="17" customHeight="1"/>
    <row r="18" customHeight="1"/>
    <row r="19" customHeight="1"/>
    <row r="20" customHeight="1"/>
    <row r="21" customHeight="1"/>
    <row r="22" customHeight="1"/>
    <row r="23" customHeight="1"/>
    <row r="24" customHeight="1"/>
    <row r="25" customHeight="1"/>
    <row r="26" customHeight="1"/>
    <row r="27" customHeight="1"/>
    <row r="28" customHeight="1"/>
    <row r="29" customHeight="1"/>
  </sheetData>
  <mergeCells count="8">
    <mergeCell ref="A1:O1"/>
    <mergeCell ref="C3:D3"/>
    <mergeCell ref="E3:F3"/>
    <mergeCell ref="G3:N3"/>
    <mergeCell ref="B11:N11"/>
    <mergeCell ref="A3:A4"/>
    <mergeCell ref="B3:B4"/>
    <mergeCell ref="O3:O4"/>
  </mergeCells>
  <pageMargins left="0.708661417322835" right="0.708661417322835" top="0.748031496062992" bottom="0.748031496062992" header="0.31496062992126" footer="0.31496062992126"/>
  <pageSetup paperSize="9" scale="8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9"/>
  <sheetViews>
    <sheetView zoomScaleSheetLayoutView="60" workbookViewId="0">
      <selection activeCell="A1" sqref="$A1:$XFD65536"/>
    </sheetView>
  </sheetViews>
  <sheetFormatPr defaultColWidth="9" defaultRowHeight="15"/>
  <cols>
    <col min="1" max="1" width="31.5" style="52" customWidth="1"/>
    <col min="2" max="2" width="11.625" style="54" customWidth="1"/>
    <col min="3" max="3" width="31.75" style="54" customWidth="1"/>
    <col min="4" max="4" width="11.5" style="54" customWidth="1"/>
    <col min="5" max="5" width="11.375" style="52" customWidth="1"/>
    <col min="6" max="6" width="9" style="52" customWidth="1"/>
    <col min="7" max="244" width="9" style="52"/>
    <col min="245" max="16384" width="9" style="55"/>
  </cols>
  <sheetData>
    <row r="1" s="52" customFormat="1" ht="32.25" customHeight="1" spans="1:253">
      <c r="A1" s="626" t="s">
        <v>1047</v>
      </c>
      <c r="B1" s="350"/>
      <c r="C1" s="350"/>
      <c r="D1" s="350"/>
      <c r="E1" s="350"/>
      <c r="IK1" s="55"/>
      <c r="IL1" s="55"/>
      <c r="IM1" s="55"/>
      <c r="IN1" s="55"/>
      <c r="IO1" s="55"/>
      <c r="IP1" s="55"/>
      <c r="IQ1" s="55"/>
      <c r="IR1" s="55"/>
      <c r="IS1" s="55"/>
    </row>
    <row r="2" s="52" customFormat="1" ht="15.95" customHeight="1" spans="1:253">
      <c r="A2" s="57"/>
      <c r="B2" s="58"/>
      <c r="D2" s="59" t="s">
        <v>973</v>
      </c>
      <c r="IK2" s="55"/>
      <c r="IL2" s="55"/>
      <c r="IM2" s="55"/>
      <c r="IN2" s="55"/>
      <c r="IO2" s="55"/>
      <c r="IP2" s="55"/>
      <c r="IQ2" s="55"/>
      <c r="IR2" s="55"/>
      <c r="IS2" s="55"/>
    </row>
    <row r="3" s="53" customFormat="1" ht="18.95" customHeight="1" spans="1:5">
      <c r="A3" s="351" t="s">
        <v>974</v>
      </c>
      <c r="B3" s="352"/>
      <c r="C3" s="353" t="s">
        <v>975</v>
      </c>
      <c r="D3" s="354"/>
      <c r="E3" s="355" t="s">
        <v>1036</v>
      </c>
    </row>
    <row r="4" s="53" customFormat="1" ht="18" customHeight="1" spans="1:5">
      <c r="A4" s="66" t="s">
        <v>976</v>
      </c>
      <c r="B4" s="66" t="s">
        <v>1048</v>
      </c>
      <c r="C4" s="66" t="s">
        <v>976</v>
      </c>
      <c r="D4" s="66" t="s">
        <v>1048</v>
      </c>
      <c r="E4" s="356"/>
    </row>
    <row r="5" s="53" customFormat="1" ht="21.95" customHeight="1" spans="1:5">
      <c r="A5" s="79" t="s">
        <v>1049</v>
      </c>
      <c r="B5" s="75">
        <f>SUM(B6:B8)</f>
        <v>2249</v>
      </c>
      <c r="C5" s="79" t="s">
        <v>1049</v>
      </c>
      <c r="D5" s="75">
        <f>SUM(D6:D8)</f>
        <v>2249</v>
      </c>
      <c r="E5" s="357"/>
    </row>
    <row r="6" s="53" customFormat="1" ht="21.95" customHeight="1" spans="1:5">
      <c r="A6" s="74" t="s">
        <v>1050</v>
      </c>
      <c r="B6" s="75">
        <v>1898</v>
      </c>
      <c r="C6" s="74" t="s">
        <v>1051</v>
      </c>
      <c r="D6" s="75">
        <v>1562</v>
      </c>
      <c r="E6" s="357"/>
    </row>
    <row r="7" s="53" customFormat="1" ht="21.95" customHeight="1" spans="1:5">
      <c r="A7" s="74" t="s">
        <v>990</v>
      </c>
      <c r="B7" s="75"/>
      <c r="C7" s="74" t="s">
        <v>1052</v>
      </c>
      <c r="D7" s="75"/>
      <c r="E7" s="357"/>
    </row>
    <row r="8" s="53" customFormat="1" ht="21.95" customHeight="1" spans="1:5">
      <c r="A8" s="74" t="s">
        <v>1002</v>
      </c>
      <c r="B8" s="75">
        <v>351</v>
      </c>
      <c r="C8" s="74" t="s">
        <v>992</v>
      </c>
      <c r="D8" s="75">
        <f>B5-D6-D7</f>
        <v>687</v>
      </c>
      <c r="E8" s="357"/>
    </row>
    <row r="9" s="53" customFormat="1" ht="21.95" customHeight="1" spans="1:5">
      <c r="A9" s="79" t="s">
        <v>1053</v>
      </c>
      <c r="B9" s="75">
        <f>SUM(B10:B12)</f>
        <v>11385</v>
      </c>
      <c r="C9" s="79" t="s">
        <v>1053</v>
      </c>
      <c r="D9" s="75">
        <f>SUM(D10:D12)</f>
        <v>11385</v>
      </c>
      <c r="E9" s="357"/>
    </row>
    <row r="10" s="53" customFormat="1" ht="21.95" customHeight="1" spans="1:5">
      <c r="A10" s="74" t="s">
        <v>1054</v>
      </c>
      <c r="B10" s="75">
        <v>10575</v>
      </c>
      <c r="C10" s="74" t="s">
        <v>1055</v>
      </c>
      <c r="D10" s="75">
        <v>11385</v>
      </c>
      <c r="E10" s="357"/>
    </row>
    <row r="11" s="53" customFormat="1" ht="21.95" customHeight="1" spans="1:5">
      <c r="A11" s="74" t="s">
        <v>990</v>
      </c>
      <c r="B11" s="75">
        <v>810</v>
      </c>
      <c r="C11" s="74" t="s">
        <v>987</v>
      </c>
      <c r="D11" s="75"/>
      <c r="E11" s="357"/>
    </row>
    <row r="12" s="53" customFormat="1" ht="21.95" customHeight="1" spans="1:5">
      <c r="A12" s="74" t="s">
        <v>1002</v>
      </c>
      <c r="B12" s="75"/>
      <c r="C12" s="74" t="s">
        <v>992</v>
      </c>
      <c r="D12" s="75">
        <f>B9-D10-D11</f>
        <v>0</v>
      </c>
      <c r="E12" s="357"/>
    </row>
    <row r="13" s="53" customFormat="1" ht="21.95" customHeight="1" spans="1:5">
      <c r="A13" s="619" t="s">
        <v>1056</v>
      </c>
      <c r="B13" s="75">
        <f>SUM(B14:B16)</f>
        <v>3962</v>
      </c>
      <c r="C13" s="79" t="s">
        <v>1056</v>
      </c>
      <c r="D13" s="75">
        <f>SUM(D14:D16)</f>
        <v>3962</v>
      </c>
      <c r="E13" s="357"/>
    </row>
    <row r="14" s="53" customFormat="1" ht="21.95" customHeight="1" spans="1:5">
      <c r="A14" s="74" t="s">
        <v>1057</v>
      </c>
      <c r="B14" s="75">
        <v>3388</v>
      </c>
      <c r="C14" s="74" t="s">
        <v>1058</v>
      </c>
      <c r="D14" s="75">
        <v>3961</v>
      </c>
      <c r="E14" s="357"/>
    </row>
    <row r="15" s="53" customFormat="1" ht="21.95" customHeight="1" spans="1:5">
      <c r="A15" s="74" t="s">
        <v>990</v>
      </c>
      <c r="B15" s="75"/>
      <c r="C15" s="74"/>
      <c r="D15" s="75"/>
      <c r="E15" s="357"/>
    </row>
    <row r="16" s="53" customFormat="1" ht="21.95" customHeight="1" spans="1:5">
      <c r="A16" s="74" t="s">
        <v>1002</v>
      </c>
      <c r="B16" s="75">
        <v>574</v>
      </c>
      <c r="C16" s="74" t="s">
        <v>992</v>
      </c>
      <c r="D16" s="75">
        <f>B13-D14-D15</f>
        <v>1</v>
      </c>
      <c r="E16" s="357"/>
    </row>
    <row r="17" s="53" customFormat="1" ht="21.95" customHeight="1" spans="1:5">
      <c r="A17" s="619" t="s">
        <v>1059</v>
      </c>
      <c r="B17" s="75">
        <f>SUM(B18:B20)</f>
        <v>186</v>
      </c>
      <c r="C17" s="79" t="s">
        <v>1059</v>
      </c>
      <c r="D17" s="75">
        <f>SUM(D18:D20)</f>
        <v>186</v>
      </c>
      <c r="E17" s="357"/>
    </row>
    <row r="18" s="53" customFormat="1" ht="21.95" customHeight="1" spans="1:5">
      <c r="A18" s="74" t="s">
        <v>1057</v>
      </c>
      <c r="B18" s="75">
        <v>152</v>
      </c>
      <c r="C18" s="74" t="s">
        <v>1060</v>
      </c>
      <c r="D18" s="75">
        <v>140</v>
      </c>
      <c r="E18" s="357"/>
    </row>
    <row r="19" s="53" customFormat="1" ht="21.95" customHeight="1" spans="1:5">
      <c r="A19" s="74" t="s">
        <v>990</v>
      </c>
      <c r="B19" s="75"/>
      <c r="C19" s="74"/>
      <c r="D19" s="75"/>
      <c r="E19" s="357"/>
    </row>
    <row r="20" s="53" customFormat="1" ht="21.95" customHeight="1" spans="1:5">
      <c r="A20" s="74" t="s">
        <v>1002</v>
      </c>
      <c r="B20" s="75">
        <v>34</v>
      </c>
      <c r="C20" s="74" t="s">
        <v>992</v>
      </c>
      <c r="D20" s="75">
        <f>B17-D18-D19</f>
        <v>46</v>
      </c>
      <c r="E20" s="357"/>
    </row>
    <row r="21" s="53" customFormat="1" ht="21.95" customHeight="1" spans="1:5">
      <c r="A21" s="619" t="s">
        <v>1061</v>
      </c>
      <c r="B21" s="75">
        <f>SUM(B22:B24)</f>
        <v>69</v>
      </c>
      <c r="C21" s="79" t="s">
        <v>1061</v>
      </c>
      <c r="D21" s="75">
        <f>SUM(D22:D24)</f>
        <v>69</v>
      </c>
      <c r="E21" s="357"/>
    </row>
    <row r="22" s="53" customFormat="1" ht="21.95" customHeight="1" spans="1:5">
      <c r="A22" s="74" t="s">
        <v>1057</v>
      </c>
      <c r="B22" s="75"/>
      <c r="C22" s="74" t="s">
        <v>1062</v>
      </c>
      <c r="D22" s="75"/>
      <c r="E22" s="357"/>
    </row>
    <row r="23" s="53" customFormat="1" ht="21.95" customHeight="1" spans="1:5">
      <c r="A23" s="74" t="s">
        <v>990</v>
      </c>
      <c r="B23" s="75">
        <v>1</v>
      </c>
      <c r="C23" s="74"/>
      <c r="D23" s="75"/>
      <c r="E23" s="357"/>
    </row>
    <row r="24" s="53" customFormat="1" ht="21.95" customHeight="1" spans="1:5">
      <c r="A24" s="74" t="s">
        <v>1002</v>
      </c>
      <c r="B24" s="75">
        <v>68</v>
      </c>
      <c r="C24" s="74" t="s">
        <v>992</v>
      </c>
      <c r="D24" s="75">
        <f>B21-D22-D23</f>
        <v>69</v>
      </c>
      <c r="E24" s="357"/>
    </row>
    <row r="25" s="53" customFormat="1" ht="21.95" customHeight="1" spans="1:18">
      <c r="A25" s="619" t="s">
        <v>1063</v>
      </c>
      <c r="B25" s="75">
        <f>SUM(B26:B28)</f>
        <v>200</v>
      </c>
      <c r="C25" s="619" t="s">
        <v>1063</v>
      </c>
      <c r="D25" s="75">
        <f>SUM(D26:D28)</f>
        <v>200</v>
      </c>
      <c r="E25" s="357"/>
      <c r="R25" s="53" t="s">
        <v>1064</v>
      </c>
    </row>
    <row r="26" s="53" customFormat="1" ht="21.95" customHeight="1" spans="1:5">
      <c r="A26" s="74" t="s">
        <v>1057</v>
      </c>
      <c r="B26" s="75"/>
      <c r="C26" s="74" t="s">
        <v>1065</v>
      </c>
      <c r="D26" s="75"/>
      <c r="E26" s="357"/>
    </row>
    <row r="27" s="53" customFormat="1" ht="21.95" customHeight="1" spans="1:5">
      <c r="A27" s="74" t="s">
        <v>990</v>
      </c>
      <c r="B27" s="75">
        <v>1</v>
      </c>
      <c r="C27" s="74" t="s">
        <v>987</v>
      </c>
      <c r="D27" s="75"/>
      <c r="E27" s="357"/>
    </row>
    <row r="28" s="53" customFormat="1" ht="21.95" customHeight="1" spans="1:5">
      <c r="A28" s="74" t="s">
        <v>1002</v>
      </c>
      <c r="B28" s="358">
        <v>199</v>
      </c>
      <c r="C28" s="74" t="s">
        <v>992</v>
      </c>
      <c r="D28" s="358">
        <f>B25-D26-D27</f>
        <v>200</v>
      </c>
      <c r="E28" s="357"/>
    </row>
    <row r="29" s="53" customFormat="1" ht="30" customHeight="1" spans="1:5">
      <c r="A29" s="82" t="s">
        <v>1003</v>
      </c>
      <c r="B29" s="75">
        <f>SUM(B5+B9+B13+B17+B21+B25)</f>
        <v>18051</v>
      </c>
      <c r="C29" s="82" t="s">
        <v>1003</v>
      </c>
      <c r="D29" s="75">
        <f>SUM(D5+D9+D13+D17+D21+D25)</f>
        <v>18051</v>
      </c>
      <c r="E29" s="357"/>
    </row>
  </sheetData>
  <mergeCells count="4">
    <mergeCell ref="A1:E1"/>
    <mergeCell ref="A3:B3"/>
    <mergeCell ref="C3:D3"/>
    <mergeCell ref="E3:E4"/>
  </mergeCells>
  <printOptions horizontalCentered="1"/>
  <pageMargins left="0.708661417322835" right="0.708661417322835" top="0.748031496062992" bottom="0.748031496062992" header="0.31496062992126" footer="0.31496062992126"/>
  <pageSetup paperSize="9" scale="83" orientation="portrait" blackAndWhite="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A1" sqref="$A1:$XFD65536"/>
    </sheetView>
  </sheetViews>
  <sheetFormatPr defaultColWidth="24.25" defaultRowHeight="15" outlineLevelCol="4"/>
  <cols>
    <col min="1" max="1" width="24.25" style="125" customWidth="1"/>
    <col min="2" max="2" width="14.375" style="125" customWidth="1"/>
    <col min="3" max="3" width="17.5" style="125" customWidth="1"/>
    <col min="4" max="4" width="16.375" style="125" customWidth="1"/>
    <col min="5" max="5" width="20.375" style="125" customWidth="1"/>
    <col min="6" max="16384" width="24.25" style="125"/>
  </cols>
  <sheetData>
    <row r="1" s="129" customFormat="1" ht="21" spans="1:5">
      <c r="A1" s="599" t="s">
        <v>1066</v>
      </c>
      <c r="B1" s="105"/>
      <c r="C1" s="105"/>
      <c r="D1" s="105"/>
      <c r="E1" s="105"/>
    </row>
    <row r="2" s="125" customFormat="1" ht="20.25" customHeight="1" spans="1:5">
      <c r="A2" s="129"/>
      <c r="B2" s="129"/>
      <c r="E2" s="251" t="s">
        <v>51</v>
      </c>
    </row>
    <row r="3" s="125" customFormat="1" ht="31.5" customHeight="1" spans="1:5">
      <c r="A3" s="330" t="s">
        <v>1067</v>
      </c>
      <c r="B3" s="627" t="s">
        <v>217</v>
      </c>
      <c r="C3" s="627" t="s">
        <v>1010</v>
      </c>
      <c r="D3" s="332" t="s">
        <v>1068</v>
      </c>
      <c r="E3" s="628" t="s">
        <v>1069</v>
      </c>
    </row>
    <row r="4" s="326" customFormat="1" ht="22.5" customHeight="1" spans="1:5">
      <c r="A4" s="334" t="s">
        <v>59</v>
      </c>
      <c r="B4" s="335">
        <f>SUM(B5:B18)</f>
        <v>18130</v>
      </c>
      <c r="C4" s="335">
        <f>SUM(C5:C18)</f>
        <v>15766</v>
      </c>
      <c r="D4" s="336">
        <f>SUM(D5:D18)</f>
        <v>16025</v>
      </c>
      <c r="E4" s="337">
        <f t="shared" ref="E4:E17" si="0">(D4-C4)/C4*100</f>
        <v>1.64</v>
      </c>
    </row>
    <row r="5" s="327" customFormat="1" ht="22.5" customHeight="1" spans="1:5">
      <c r="A5" s="338" t="s">
        <v>60</v>
      </c>
      <c r="B5" s="339">
        <v>7500</v>
      </c>
      <c r="C5" s="339">
        <v>4029</v>
      </c>
      <c r="D5" s="339">
        <f>4250+120</f>
        <v>4370</v>
      </c>
      <c r="E5" s="340">
        <f t="shared" si="0"/>
        <v>8.46</v>
      </c>
    </row>
    <row r="6" s="327" customFormat="1" ht="22.5" customHeight="1" spans="1:5">
      <c r="A6" s="338" t="s">
        <v>61</v>
      </c>
      <c r="B6" s="339">
        <v>2500</v>
      </c>
      <c r="C6" s="339">
        <v>1170</v>
      </c>
      <c r="D6" s="339">
        <v>1300</v>
      </c>
      <c r="E6" s="340">
        <f t="shared" si="0"/>
        <v>11.11</v>
      </c>
    </row>
    <row r="7" s="327" customFormat="1" ht="22.5" customHeight="1" spans="1:5">
      <c r="A7" s="338" t="s">
        <v>62</v>
      </c>
      <c r="B7" s="339">
        <v>530</v>
      </c>
      <c r="C7" s="339">
        <v>283</v>
      </c>
      <c r="D7" s="339">
        <v>300</v>
      </c>
      <c r="E7" s="340">
        <f t="shared" si="0"/>
        <v>6.01</v>
      </c>
    </row>
    <row r="8" s="327" customFormat="1" ht="22.5" customHeight="1" spans="1:5">
      <c r="A8" s="338" t="s">
        <v>63</v>
      </c>
      <c r="B8" s="339">
        <v>80</v>
      </c>
      <c r="C8" s="339">
        <v>36</v>
      </c>
      <c r="D8" s="339">
        <v>50</v>
      </c>
      <c r="E8" s="340">
        <f t="shared" si="0"/>
        <v>38.89</v>
      </c>
    </row>
    <row r="9" s="327" customFormat="1" ht="22.5" customHeight="1" spans="1:5">
      <c r="A9" s="338" t="s">
        <v>64</v>
      </c>
      <c r="B9" s="339">
        <v>815</v>
      </c>
      <c r="C9" s="339">
        <v>581</v>
      </c>
      <c r="D9" s="339">
        <v>600</v>
      </c>
      <c r="E9" s="340">
        <f t="shared" si="0"/>
        <v>3.27</v>
      </c>
    </row>
    <row r="10" s="327" customFormat="1" ht="22.5" customHeight="1" spans="1:5">
      <c r="A10" s="338" t="s">
        <v>65</v>
      </c>
      <c r="B10" s="339">
        <v>1500</v>
      </c>
      <c r="C10" s="339">
        <v>917</v>
      </c>
      <c r="D10" s="339">
        <v>500</v>
      </c>
      <c r="E10" s="340">
        <f t="shared" si="0"/>
        <v>-45.47</v>
      </c>
    </row>
    <row r="11" s="327" customFormat="1" ht="22.5" customHeight="1" spans="1:5">
      <c r="A11" s="338" t="s">
        <v>66</v>
      </c>
      <c r="B11" s="339">
        <v>300</v>
      </c>
      <c r="C11" s="339">
        <v>230</v>
      </c>
      <c r="D11" s="339">
        <v>300</v>
      </c>
      <c r="E11" s="340">
        <f t="shared" si="0"/>
        <v>30.43</v>
      </c>
    </row>
    <row r="12" s="327" customFormat="1" ht="22.5" customHeight="1" spans="1:5">
      <c r="A12" s="338" t="s">
        <v>67</v>
      </c>
      <c r="B12" s="339">
        <v>375</v>
      </c>
      <c r="C12" s="339">
        <v>311</v>
      </c>
      <c r="D12" s="339">
        <v>200</v>
      </c>
      <c r="E12" s="340">
        <f t="shared" si="0"/>
        <v>-35.69</v>
      </c>
    </row>
    <row r="13" s="327" customFormat="1" ht="22.5" customHeight="1" spans="1:5">
      <c r="A13" s="338" t="s">
        <v>68</v>
      </c>
      <c r="B13" s="339">
        <v>1000</v>
      </c>
      <c r="C13" s="339">
        <v>1746</v>
      </c>
      <c r="D13" s="339">
        <v>1600</v>
      </c>
      <c r="E13" s="340">
        <f t="shared" si="0"/>
        <v>-8.36</v>
      </c>
    </row>
    <row r="14" s="327" customFormat="1" ht="22.5" customHeight="1" spans="1:5">
      <c r="A14" s="338" t="s">
        <v>69</v>
      </c>
      <c r="B14" s="339">
        <v>850</v>
      </c>
      <c r="C14" s="339">
        <v>567</v>
      </c>
      <c r="D14" s="339">
        <v>600</v>
      </c>
      <c r="E14" s="340">
        <f t="shared" si="0"/>
        <v>5.82</v>
      </c>
    </row>
    <row r="15" s="327" customFormat="1" ht="22.5" customHeight="1" spans="1:5">
      <c r="A15" s="338" t="s">
        <v>70</v>
      </c>
      <c r="B15" s="339">
        <v>175</v>
      </c>
      <c r="C15" s="339">
        <v>4189</v>
      </c>
      <c r="D15" s="339">
        <v>4200</v>
      </c>
      <c r="E15" s="340">
        <f t="shared" si="0"/>
        <v>0.26</v>
      </c>
    </row>
    <row r="16" s="327" customFormat="1" ht="22.5" customHeight="1" spans="1:5">
      <c r="A16" s="338" t="s">
        <v>71</v>
      </c>
      <c r="B16" s="339">
        <v>2500</v>
      </c>
      <c r="C16" s="339">
        <v>1705</v>
      </c>
      <c r="D16" s="339">
        <v>2000</v>
      </c>
      <c r="E16" s="340">
        <f t="shared" si="0"/>
        <v>17.3</v>
      </c>
    </row>
    <row r="17" s="327" customFormat="1" ht="22.5" customHeight="1" spans="1:5">
      <c r="A17" s="629" t="s">
        <v>72</v>
      </c>
      <c r="B17" s="339">
        <v>5</v>
      </c>
      <c r="C17" s="339">
        <v>2</v>
      </c>
      <c r="D17" s="339">
        <v>5</v>
      </c>
      <c r="E17" s="340">
        <f t="shared" si="0"/>
        <v>150</v>
      </c>
    </row>
    <row r="18" s="327" customFormat="1" ht="22.5" customHeight="1" spans="1:5">
      <c r="A18" s="338" t="s">
        <v>1070</v>
      </c>
      <c r="B18" s="341"/>
      <c r="C18" s="342"/>
      <c r="D18" s="342"/>
      <c r="E18" s="340"/>
    </row>
    <row r="19" s="326" customFormat="1" ht="22.5" customHeight="1" spans="1:5">
      <c r="A19" s="334" t="s">
        <v>74</v>
      </c>
      <c r="B19" s="335">
        <f>SUM(B20:B26)</f>
        <v>6190</v>
      </c>
      <c r="C19" s="335">
        <f>SUM(C20:C26)</f>
        <v>6180</v>
      </c>
      <c r="D19" s="336">
        <f>SUM(D20:D26)</f>
        <v>6073</v>
      </c>
      <c r="E19" s="337">
        <f t="shared" ref="E19:E22" si="1">(D19-C19)/C19*100</f>
        <v>-1.73</v>
      </c>
    </row>
    <row r="20" s="327" customFormat="1" ht="22.5" customHeight="1" spans="1:5">
      <c r="A20" s="338" t="s">
        <v>75</v>
      </c>
      <c r="B20" s="342">
        <v>1250</v>
      </c>
      <c r="C20" s="339">
        <v>795</v>
      </c>
      <c r="D20" s="342">
        <v>1380</v>
      </c>
      <c r="E20" s="340">
        <f t="shared" si="1"/>
        <v>73.58</v>
      </c>
    </row>
    <row r="21" s="327" customFormat="1" ht="22.5" customHeight="1" spans="1:5">
      <c r="A21" s="338" t="s">
        <v>76</v>
      </c>
      <c r="B21" s="342">
        <v>2150</v>
      </c>
      <c r="C21" s="339">
        <v>1722</v>
      </c>
      <c r="D21" s="342">
        <f>2320-397</f>
        <v>1923</v>
      </c>
      <c r="E21" s="340">
        <f t="shared" si="1"/>
        <v>11.67</v>
      </c>
    </row>
    <row r="22" s="327" customFormat="1" ht="22.5" customHeight="1" spans="1:5">
      <c r="A22" s="338" t="s">
        <v>77</v>
      </c>
      <c r="B22" s="342">
        <v>1500</v>
      </c>
      <c r="C22" s="339">
        <v>2865</v>
      </c>
      <c r="D22" s="342">
        <v>1590</v>
      </c>
      <c r="E22" s="340">
        <f t="shared" si="1"/>
        <v>-44.5</v>
      </c>
    </row>
    <row r="23" s="327" customFormat="1" ht="22.5" customHeight="1" spans="1:5">
      <c r="A23" s="338" t="s">
        <v>1071</v>
      </c>
      <c r="B23" s="342"/>
      <c r="C23" s="339"/>
      <c r="D23" s="342"/>
      <c r="E23" s="340"/>
    </row>
    <row r="24" s="327" customFormat="1" ht="22.5" customHeight="1" spans="1:5">
      <c r="A24" s="343" t="s">
        <v>78</v>
      </c>
      <c r="B24" s="342">
        <v>1150</v>
      </c>
      <c r="C24" s="339">
        <v>673</v>
      </c>
      <c r="D24" s="342">
        <v>980</v>
      </c>
      <c r="E24" s="340">
        <f t="shared" ref="E24:E26" si="2">(D24-C24)/C24*100</f>
        <v>45.62</v>
      </c>
    </row>
    <row r="25" s="327" customFormat="1" ht="22.5" customHeight="1" spans="1:5">
      <c r="A25" s="344" t="s">
        <v>79</v>
      </c>
      <c r="B25" s="342">
        <v>140</v>
      </c>
      <c r="C25" s="339">
        <v>123</v>
      </c>
      <c r="D25" s="342">
        <v>200</v>
      </c>
      <c r="E25" s="340">
        <f t="shared" si="2"/>
        <v>62.6</v>
      </c>
    </row>
    <row r="26" s="328" customFormat="1" ht="22.5" customHeight="1" spans="1:5">
      <c r="A26" s="338" t="s">
        <v>80</v>
      </c>
      <c r="B26" s="341"/>
      <c r="C26" s="339">
        <v>2</v>
      </c>
      <c r="D26" s="342"/>
      <c r="E26" s="340">
        <f t="shared" si="2"/>
        <v>-100</v>
      </c>
    </row>
    <row r="27" s="328" customFormat="1" ht="22.5" customHeight="1" spans="1:5">
      <c r="A27" s="338" t="s">
        <v>1072</v>
      </c>
      <c r="B27" s="341"/>
      <c r="C27" s="339"/>
      <c r="D27" s="342"/>
      <c r="E27" s="340"/>
    </row>
    <row r="28" s="327" customFormat="1" ht="22.5" customHeight="1" spans="1:5">
      <c r="A28" s="338" t="s">
        <v>1072</v>
      </c>
      <c r="B28" s="341"/>
      <c r="C28" s="342"/>
      <c r="D28" s="342"/>
      <c r="E28" s="340"/>
    </row>
    <row r="29" s="327" customFormat="1" ht="22.5" customHeight="1" spans="1:5">
      <c r="A29" s="345" t="s">
        <v>81</v>
      </c>
      <c r="B29" s="346">
        <f>B4+B19</f>
        <v>24320</v>
      </c>
      <c r="C29" s="347">
        <f>C4+C19</f>
        <v>21946</v>
      </c>
      <c r="D29" s="347">
        <f>D4+D19</f>
        <v>22098</v>
      </c>
      <c r="E29" s="348">
        <f>(D29-C29)/C29*100</f>
        <v>0.69</v>
      </c>
    </row>
    <row r="30" s="329" customFormat="1" ht="63" customHeight="1" spans="5:5">
      <c r="E30" s="349"/>
    </row>
    <row r="31" s="329" customFormat="1" ht="51" customHeight="1" spans="5:5">
      <c r="E31" s="349"/>
    </row>
    <row r="32" s="329" customFormat="1" ht="51" customHeight="1"/>
    <row r="33" s="329" customFormat="1" ht="20.1" customHeight="1"/>
  </sheetData>
  <mergeCells count="1">
    <mergeCell ref="A1:E1"/>
  </mergeCells>
  <printOptions horizontalCentered="1" verticalCentered="1"/>
  <pageMargins left="0.708661417322835" right="0.708661417322835" top="0.748031496062992" bottom="0.748031496062992" header="0.31496062992126" footer="0.31496062992126"/>
  <pageSetup paperSize="9" scale="90" orientation="portrait" blackAndWhite="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42"/>
  <sheetViews>
    <sheetView showZeros="0" zoomScaleSheetLayoutView="60" workbookViewId="0">
      <pane xSplit="3" ySplit="3" topLeftCell="D4" activePane="bottomRight" state="frozen"/>
      <selection/>
      <selection pane="topRight"/>
      <selection pane="bottomLeft"/>
      <selection pane="bottomRight" activeCell="C11" sqref="C11"/>
    </sheetView>
  </sheetViews>
  <sheetFormatPr defaultColWidth="9" defaultRowHeight="15"/>
  <cols>
    <col min="1" max="1" width="9" style="254"/>
    <col min="2" max="2" width="37.25" style="125" customWidth="1"/>
    <col min="3" max="3" width="13.375" style="125" customWidth="1"/>
    <col min="4" max="4" width="12.5" style="255" customWidth="1"/>
    <col min="5" max="8" width="12.5" style="255" hidden="1" customWidth="1"/>
    <col min="9" max="9" width="12.375" style="57" hidden="1" customWidth="1"/>
    <col min="10" max="10" width="12.375" style="125" customWidth="1"/>
    <col min="11" max="12" width="9" style="147" hidden="1" customWidth="1"/>
    <col min="13" max="13" width="11.375" style="254" hidden="1" customWidth="1"/>
    <col min="14" max="14" width="4.86666666666667" style="254" hidden="1" customWidth="1"/>
    <col min="15" max="15" width="6.65833333333333" style="254" hidden="1" customWidth="1"/>
    <col min="16" max="16" width="21.6666666666667" style="256" hidden="1" customWidth="1"/>
    <col min="17" max="17" width="33.25" style="125" customWidth="1"/>
    <col min="18" max="20" width="9" style="125" customWidth="1"/>
    <col min="21" max="16384" width="9" style="125"/>
  </cols>
  <sheetData>
    <row r="1" s="129" customFormat="1" ht="21" spans="1:16">
      <c r="A1" s="630" t="s">
        <v>1073</v>
      </c>
      <c r="B1" s="105"/>
      <c r="C1" s="105"/>
      <c r="D1" s="105"/>
      <c r="E1" s="105"/>
      <c r="F1" s="105"/>
      <c r="G1" s="105"/>
      <c r="H1" s="105"/>
      <c r="I1" s="270"/>
      <c r="J1" s="105"/>
      <c r="K1" s="271"/>
      <c r="L1" s="271"/>
      <c r="M1" s="272"/>
      <c r="N1" s="272"/>
      <c r="O1" s="272"/>
      <c r="P1" s="273"/>
    </row>
    <row r="2" s="92" customFormat="1" ht="20.25" customHeight="1" spans="1:16">
      <c r="A2" s="258"/>
      <c r="D2" s="259"/>
      <c r="E2" s="259"/>
      <c r="F2" s="259"/>
      <c r="G2" s="259"/>
      <c r="H2" s="259"/>
      <c r="I2" s="274" t="s">
        <v>1072</v>
      </c>
      <c r="J2" s="275" t="s">
        <v>51</v>
      </c>
      <c r="K2" s="276"/>
      <c r="L2" s="276"/>
      <c r="M2" s="258"/>
      <c r="N2" s="258"/>
      <c r="O2" s="258"/>
      <c r="P2" s="277"/>
    </row>
    <row r="3" s="92" customFormat="1" ht="36" customHeight="1" spans="1:16">
      <c r="A3" s="157" t="s">
        <v>435</v>
      </c>
      <c r="B3" s="39" t="s">
        <v>52</v>
      </c>
      <c r="C3" s="600" t="s">
        <v>1010</v>
      </c>
      <c r="D3" s="39" t="s">
        <v>1068</v>
      </c>
      <c r="E3" s="631" t="s">
        <v>1074</v>
      </c>
      <c r="F3" s="260" t="s">
        <v>1075</v>
      </c>
      <c r="G3" s="260" t="s">
        <v>1076</v>
      </c>
      <c r="H3" s="632" t="s">
        <v>1077</v>
      </c>
      <c r="I3" s="633" t="s">
        <v>1078</v>
      </c>
      <c r="J3" s="135" t="s">
        <v>1079</v>
      </c>
      <c r="K3" s="276"/>
      <c r="L3" s="33" t="s">
        <v>1080</v>
      </c>
      <c r="M3" s="157" t="s">
        <v>435</v>
      </c>
      <c r="N3" s="157" t="s">
        <v>1081</v>
      </c>
      <c r="O3" s="157" t="s">
        <v>1082</v>
      </c>
      <c r="P3" s="163" t="s">
        <v>436</v>
      </c>
    </row>
    <row r="4" s="93" customFormat="1" ht="20.1" customHeight="1" spans="1:16">
      <c r="A4" s="154" t="s">
        <v>455</v>
      </c>
      <c r="B4" s="261" t="s">
        <v>221</v>
      </c>
      <c r="C4" s="262">
        <f t="shared" ref="C4:I4" si="0">C5+C17+C26+C36+C47+C58+C69+C77+C86+C99+C108+C119+C131+C138+C146+C152+C159+C166+C173+C180+C187+C201+C207+C214+C249+C236+C195+C229+C243</f>
        <v>20055</v>
      </c>
      <c r="D4" s="262">
        <f t="shared" ref="D4:D67" si="1">SUM(E4:I4)</f>
        <v>23179</v>
      </c>
      <c r="E4" s="262">
        <f t="shared" si="0"/>
        <v>207</v>
      </c>
      <c r="F4" s="262">
        <f t="shared" si="0"/>
        <v>55</v>
      </c>
      <c r="G4" s="262">
        <f t="shared" si="0"/>
        <v>1174</v>
      </c>
      <c r="H4" s="262">
        <f t="shared" si="0"/>
        <v>2000</v>
      </c>
      <c r="I4" s="262">
        <f t="shared" si="0"/>
        <v>19743</v>
      </c>
      <c r="J4" s="279">
        <f t="shared" ref="J4:J67" si="2">ROUND(IF(C4=0,IF(D4=0,0,1),IF(D4=0,-1,D4/C4)),4)*100</f>
        <v>115.58</v>
      </c>
      <c r="K4" s="280" t="s">
        <v>1081</v>
      </c>
      <c r="L4" s="281"/>
      <c r="M4" s="154" t="s">
        <v>455</v>
      </c>
      <c r="N4" s="154" t="s">
        <v>455</v>
      </c>
      <c r="O4" s="154"/>
      <c r="P4" s="282" t="s">
        <v>1083</v>
      </c>
    </row>
    <row r="5" s="93" customFormat="1" ht="20.1" customHeight="1" spans="1:16">
      <c r="A5" s="263" t="s">
        <v>456</v>
      </c>
      <c r="B5" s="264" t="s">
        <v>222</v>
      </c>
      <c r="C5" s="265">
        <f t="shared" ref="C5:I5" si="3">SUM(C6:C16)</f>
        <v>640</v>
      </c>
      <c r="D5" s="265">
        <f t="shared" si="1"/>
        <v>891</v>
      </c>
      <c r="E5" s="265">
        <f t="shared" si="3"/>
        <v>0</v>
      </c>
      <c r="F5" s="265">
        <f t="shared" si="3"/>
        <v>0</v>
      </c>
      <c r="G5" s="265">
        <f t="shared" si="3"/>
        <v>76</v>
      </c>
      <c r="H5" s="265">
        <f t="shared" si="3"/>
        <v>0</v>
      </c>
      <c r="I5" s="265">
        <f t="shared" si="3"/>
        <v>815</v>
      </c>
      <c r="J5" s="283">
        <f t="shared" si="2"/>
        <v>139.22</v>
      </c>
      <c r="K5" s="284" t="s">
        <v>1082</v>
      </c>
      <c r="L5" s="285"/>
      <c r="M5" s="263" t="s">
        <v>456</v>
      </c>
      <c r="N5" s="263" t="s">
        <v>455</v>
      </c>
      <c r="O5" s="263" t="s">
        <v>456</v>
      </c>
      <c r="P5" s="286" t="s">
        <v>1084</v>
      </c>
    </row>
    <row r="6" s="92" customFormat="1" ht="20.1" customHeight="1" spans="1:16">
      <c r="A6" s="157" t="s">
        <v>1085</v>
      </c>
      <c r="B6" s="266" t="s">
        <v>1086</v>
      </c>
      <c r="C6" s="267">
        <v>514</v>
      </c>
      <c r="D6" s="268">
        <f t="shared" si="1"/>
        <v>556</v>
      </c>
      <c r="E6" s="267"/>
      <c r="F6" s="267"/>
      <c r="G6" s="267"/>
      <c r="H6" s="267"/>
      <c r="I6" s="287">
        <v>556</v>
      </c>
      <c r="J6" s="288">
        <f t="shared" si="2"/>
        <v>108.17</v>
      </c>
      <c r="K6" s="276" t="s">
        <v>1087</v>
      </c>
      <c r="L6" s="33">
        <v>1</v>
      </c>
      <c r="M6" s="157" t="s">
        <v>1085</v>
      </c>
      <c r="N6" s="157"/>
      <c r="O6" s="157" t="s">
        <v>456</v>
      </c>
      <c r="P6" s="164" t="s">
        <v>1088</v>
      </c>
    </row>
    <row r="7" s="92" customFormat="1" ht="20.1" customHeight="1" spans="1:16">
      <c r="A7" s="157" t="s">
        <v>1089</v>
      </c>
      <c r="B7" s="266" t="s">
        <v>1090</v>
      </c>
      <c r="C7" s="267"/>
      <c r="D7" s="268">
        <f t="shared" si="1"/>
        <v>0</v>
      </c>
      <c r="E7" s="267"/>
      <c r="F7" s="267"/>
      <c r="G7" s="267"/>
      <c r="H7" s="267"/>
      <c r="I7" s="287"/>
      <c r="J7" s="288">
        <f t="shared" si="2"/>
        <v>0</v>
      </c>
      <c r="K7" s="276" t="s">
        <v>1087</v>
      </c>
      <c r="L7" s="33">
        <v>1</v>
      </c>
      <c r="M7" s="157" t="s">
        <v>1089</v>
      </c>
      <c r="N7" s="157"/>
      <c r="O7" s="157" t="s">
        <v>456</v>
      </c>
      <c r="P7" s="164" t="s">
        <v>1091</v>
      </c>
    </row>
    <row r="8" s="92" customFormat="1" ht="20.1" customHeight="1" spans="1:16">
      <c r="A8" s="157" t="s">
        <v>1092</v>
      </c>
      <c r="B8" s="269" t="s">
        <v>1093</v>
      </c>
      <c r="C8" s="267">
        <v>0</v>
      </c>
      <c r="D8" s="268">
        <f t="shared" si="1"/>
        <v>0</v>
      </c>
      <c r="E8" s="267"/>
      <c r="F8" s="267"/>
      <c r="G8" s="267"/>
      <c r="H8" s="267"/>
      <c r="I8" s="287"/>
      <c r="J8" s="288">
        <f t="shared" si="2"/>
        <v>0</v>
      </c>
      <c r="K8" s="276" t="s">
        <v>1087</v>
      </c>
      <c r="L8" s="33">
        <v>1</v>
      </c>
      <c r="M8" s="157" t="s">
        <v>1092</v>
      </c>
      <c r="N8" s="157"/>
      <c r="O8" s="157" t="s">
        <v>456</v>
      </c>
      <c r="P8" s="164" t="s">
        <v>1094</v>
      </c>
    </row>
    <row r="9" s="92" customFormat="1" ht="20.1" customHeight="1" spans="1:16">
      <c r="A9" s="157" t="s">
        <v>1095</v>
      </c>
      <c r="B9" s="269" t="s">
        <v>1096</v>
      </c>
      <c r="C9" s="267">
        <v>29</v>
      </c>
      <c r="D9" s="268">
        <f t="shared" si="1"/>
        <v>62</v>
      </c>
      <c r="E9" s="267"/>
      <c r="F9" s="267"/>
      <c r="G9" s="267"/>
      <c r="H9" s="267"/>
      <c r="I9" s="287">
        <v>62</v>
      </c>
      <c r="J9" s="288">
        <f t="shared" si="2"/>
        <v>213.79</v>
      </c>
      <c r="K9" s="276" t="s">
        <v>1087</v>
      </c>
      <c r="L9" s="33">
        <v>1</v>
      </c>
      <c r="M9" s="157" t="s">
        <v>1095</v>
      </c>
      <c r="N9" s="157"/>
      <c r="O9" s="157" t="s">
        <v>456</v>
      </c>
      <c r="P9" s="163" t="s">
        <v>1097</v>
      </c>
    </row>
    <row r="10" s="92" customFormat="1" ht="20.1" customHeight="1" spans="1:16">
      <c r="A10" s="157" t="s">
        <v>1098</v>
      </c>
      <c r="B10" s="269" t="s">
        <v>1099</v>
      </c>
      <c r="C10" s="267">
        <v>60</v>
      </c>
      <c r="D10" s="268">
        <f t="shared" si="1"/>
        <v>30</v>
      </c>
      <c r="E10" s="267"/>
      <c r="F10" s="267"/>
      <c r="G10" s="267"/>
      <c r="H10" s="267"/>
      <c r="I10" s="287">
        <v>30</v>
      </c>
      <c r="J10" s="288">
        <f t="shared" si="2"/>
        <v>50</v>
      </c>
      <c r="K10" s="276" t="s">
        <v>1087</v>
      </c>
      <c r="L10" s="33">
        <v>1</v>
      </c>
      <c r="M10" s="157" t="s">
        <v>1098</v>
      </c>
      <c r="N10" s="157"/>
      <c r="O10" s="157" t="s">
        <v>456</v>
      </c>
      <c r="P10" s="163" t="s">
        <v>1100</v>
      </c>
    </row>
    <row r="11" s="92" customFormat="1" ht="20.1" customHeight="1" spans="1:16">
      <c r="A11" s="157" t="s">
        <v>1101</v>
      </c>
      <c r="B11" s="36" t="s">
        <v>1102</v>
      </c>
      <c r="C11" s="267">
        <v>7</v>
      </c>
      <c r="D11" s="268">
        <f t="shared" si="1"/>
        <v>10</v>
      </c>
      <c r="E11" s="267"/>
      <c r="F11" s="267"/>
      <c r="G11" s="267"/>
      <c r="H11" s="267"/>
      <c r="I11" s="287">
        <v>10</v>
      </c>
      <c r="J11" s="288">
        <f t="shared" si="2"/>
        <v>142.86</v>
      </c>
      <c r="K11" s="276" t="s">
        <v>1087</v>
      </c>
      <c r="L11" s="33">
        <v>1</v>
      </c>
      <c r="M11" s="157" t="s">
        <v>1101</v>
      </c>
      <c r="N11" s="157"/>
      <c r="O11" s="157" t="s">
        <v>456</v>
      </c>
      <c r="P11" s="163" t="s">
        <v>1103</v>
      </c>
    </row>
    <row r="12" s="92" customFormat="1" ht="20.1" customHeight="1" spans="1:16">
      <c r="A12" s="157" t="s">
        <v>1104</v>
      </c>
      <c r="B12" s="36" t="s">
        <v>1105</v>
      </c>
      <c r="C12" s="267">
        <v>7</v>
      </c>
      <c r="D12" s="268">
        <f t="shared" si="1"/>
        <v>207</v>
      </c>
      <c r="E12" s="267"/>
      <c r="F12" s="267"/>
      <c r="G12" s="267">
        <v>69</v>
      </c>
      <c r="H12" s="267"/>
      <c r="I12" s="287">
        <v>138</v>
      </c>
      <c r="J12" s="288">
        <f t="shared" si="2"/>
        <v>2957.14</v>
      </c>
      <c r="K12" s="276" t="s">
        <v>1087</v>
      </c>
      <c r="L12" s="33">
        <v>1</v>
      </c>
      <c r="M12" s="157" t="s">
        <v>1104</v>
      </c>
      <c r="N12" s="157"/>
      <c r="O12" s="157" t="s">
        <v>456</v>
      </c>
      <c r="P12" s="163" t="s">
        <v>1106</v>
      </c>
    </row>
    <row r="13" s="92" customFormat="1" ht="20.1" customHeight="1" spans="1:16">
      <c r="A13" s="157" t="s">
        <v>1107</v>
      </c>
      <c r="B13" s="36" t="s">
        <v>1108</v>
      </c>
      <c r="C13" s="267"/>
      <c r="D13" s="268">
        <f t="shared" si="1"/>
        <v>15</v>
      </c>
      <c r="E13" s="267"/>
      <c r="F13" s="267"/>
      <c r="G13" s="267"/>
      <c r="H13" s="267"/>
      <c r="I13" s="287">
        <v>15</v>
      </c>
      <c r="J13" s="288">
        <f t="shared" si="2"/>
        <v>100</v>
      </c>
      <c r="K13" s="276" t="s">
        <v>1087</v>
      </c>
      <c r="L13" s="33">
        <v>1</v>
      </c>
      <c r="M13" s="157" t="s">
        <v>1107</v>
      </c>
      <c r="N13" s="157"/>
      <c r="O13" s="157" t="s">
        <v>456</v>
      </c>
      <c r="P13" s="163" t="s">
        <v>1109</v>
      </c>
    </row>
    <row r="14" s="92" customFormat="1" ht="20.1" customHeight="1" spans="1:16">
      <c r="A14" s="157" t="s">
        <v>1110</v>
      </c>
      <c r="B14" s="36" t="s">
        <v>1111</v>
      </c>
      <c r="C14" s="267"/>
      <c r="D14" s="268">
        <f t="shared" si="1"/>
        <v>0</v>
      </c>
      <c r="E14" s="267"/>
      <c r="F14" s="267"/>
      <c r="G14" s="267"/>
      <c r="H14" s="267"/>
      <c r="I14" s="287"/>
      <c r="J14" s="288">
        <f t="shared" si="2"/>
        <v>0</v>
      </c>
      <c r="K14" s="276" t="s">
        <v>1087</v>
      </c>
      <c r="L14" s="33">
        <v>1</v>
      </c>
      <c r="M14" s="157" t="s">
        <v>1110</v>
      </c>
      <c r="N14" s="157"/>
      <c r="O14" s="157" t="s">
        <v>456</v>
      </c>
      <c r="P14" s="163" t="s">
        <v>1112</v>
      </c>
    </row>
    <row r="15" s="92" customFormat="1" ht="20.1" customHeight="1" spans="1:19">
      <c r="A15" s="157" t="s">
        <v>1113</v>
      </c>
      <c r="B15" s="36" t="s">
        <v>1114</v>
      </c>
      <c r="C15" s="267"/>
      <c r="D15" s="268">
        <f t="shared" si="1"/>
        <v>4</v>
      </c>
      <c r="E15" s="267"/>
      <c r="F15" s="267"/>
      <c r="G15" s="267"/>
      <c r="H15" s="267"/>
      <c r="I15" s="287">
        <v>4</v>
      </c>
      <c r="J15" s="288">
        <f t="shared" si="2"/>
        <v>100</v>
      </c>
      <c r="K15" s="276" t="s">
        <v>1087</v>
      </c>
      <c r="L15" s="33">
        <v>1</v>
      </c>
      <c r="M15" s="157" t="s">
        <v>1113</v>
      </c>
      <c r="N15" s="157"/>
      <c r="O15" s="157" t="s">
        <v>456</v>
      </c>
      <c r="P15" s="164" t="s">
        <v>1115</v>
      </c>
      <c r="S15" s="92" t="s">
        <v>1116</v>
      </c>
    </row>
    <row r="16" s="92" customFormat="1" ht="20.1" customHeight="1" spans="1:16">
      <c r="A16" s="157" t="s">
        <v>1117</v>
      </c>
      <c r="B16" s="36" t="s">
        <v>1118</v>
      </c>
      <c r="C16" s="267">
        <v>23</v>
      </c>
      <c r="D16" s="268">
        <f t="shared" si="1"/>
        <v>7</v>
      </c>
      <c r="E16" s="267"/>
      <c r="F16" s="267"/>
      <c r="G16" s="267">
        <v>7</v>
      </c>
      <c r="H16" s="267"/>
      <c r="I16" s="287"/>
      <c r="J16" s="288">
        <f t="shared" si="2"/>
        <v>30.43</v>
      </c>
      <c r="K16" s="276" t="s">
        <v>1087</v>
      </c>
      <c r="L16" s="33">
        <v>1</v>
      </c>
      <c r="M16" s="157" t="s">
        <v>1117</v>
      </c>
      <c r="N16" s="157"/>
      <c r="O16" s="157" t="s">
        <v>456</v>
      </c>
      <c r="P16" s="163" t="s">
        <v>1119</v>
      </c>
    </row>
    <row r="17" s="93" customFormat="1" ht="20.1" customHeight="1" spans="1:16">
      <c r="A17" s="263" t="s">
        <v>457</v>
      </c>
      <c r="B17" s="264" t="s">
        <v>223</v>
      </c>
      <c r="C17" s="265">
        <f t="shared" ref="C17:I17" si="4">SUM(C18:C25)</f>
        <v>290</v>
      </c>
      <c r="D17" s="265">
        <f t="shared" si="1"/>
        <v>303</v>
      </c>
      <c r="E17" s="265">
        <f t="shared" si="4"/>
        <v>0</v>
      </c>
      <c r="F17" s="265">
        <f t="shared" si="4"/>
        <v>0</v>
      </c>
      <c r="G17" s="265">
        <f t="shared" si="4"/>
        <v>12</v>
      </c>
      <c r="H17" s="265">
        <f t="shared" si="4"/>
        <v>0</v>
      </c>
      <c r="I17" s="265">
        <f t="shared" si="4"/>
        <v>291</v>
      </c>
      <c r="J17" s="283">
        <f t="shared" si="2"/>
        <v>104.48</v>
      </c>
      <c r="K17" s="284" t="s">
        <v>1082</v>
      </c>
      <c r="L17" s="285"/>
      <c r="M17" s="263" t="s">
        <v>457</v>
      </c>
      <c r="N17" s="263" t="s">
        <v>455</v>
      </c>
      <c r="O17" s="263" t="s">
        <v>457</v>
      </c>
      <c r="P17" s="286" t="s">
        <v>1120</v>
      </c>
    </row>
    <row r="18" s="92" customFormat="1" ht="20.1" customHeight="1" spans="1:16">
      <c r="A18" s="157" t="s">
        <v>1121</v>
      </c>
      <c r="B18" s="266" t="s">
        <v>1086</v>
      </c>
      <c r="C18" s="267">
        <v>272</v>
      </c>
      <c r="D18" s="268">
        <f t="shared" si="1"/>
        <v>237</v>
      </c>
      <c r="E18" s="267"/>
      <c r="F18" s="267"/>
      <c r="G18" s="267">
        <v>12</v>
      </c>
      <c r="H18" s="267"/>
      <c r="I18" s="287">
        <v>225</v>
      </c>
      <c r="J18" s="288">
        <f t="shared" si="2"/>
        <v>87.13</v>
      </c>
      <c r="K18" s="276" t="s">
        <v>1087</v>
      </c>
      <c r="L18" s="33">
        <v>1</v>
      </c>
      <c r="M18" s="157" t="s">
        <v>1121</v>
      </c>
      <c r="N18" s="157"/>
      <c r="O18" s="157" t="s">
        <v>457</v>
      </c>
      <c r="P18" s="164" t="s">
        <v>1088</v>
      </c>
    </row>
    <row r="19" s="92" customFormat="1" ht="20.1" customHeight="1" spans="1:16">
      <c r="A19" s="157" t="s">
        <v>1122</v>
      </c>
      <c r="B19" s="266" t="s">
        <v>1090</v>
      </c>
      <c r="C19" s="267"/>
      <c r="D19" s="268">
        <f t="shared" si="1"/>
        <v>35</v>
      </c>
      <c r="E19" s="267"/>
      <c r="F19" s="267"/>
      <c r="G19" s="267"/>
      <c r="H19" s="267"/>
      <c r="I19" s="287">
        <v>35</v>
      </c>
      <c r="J19" s="288">
        <f t="shared" si="2"/>
        <v>100</v>
      </c>
      <c r="K19" s="276" t="s">
        <v>1087</v>
      </c>
      <c r="L19" s="33">
        <v>1</v>
      </c>
      <c r="M19" s="157" t="s">
        <v>1122</v>
      </c>
      <c r="N19" s="157"/>
      <c r="O19" s="157" t="s">
        <v>457</v>
      </c>
      <c r="P19" s="164" t="s">
        <v>1091</v>
      </c>
    </row>
    <row r="20" s="92" customFormat="1" ht="20.1" customHeight="1" spans="1:16">
      <c r="A20" s="157" t="s">
        <v>1123</v>
      </c>
      <c r="B20" s="269" t="s">
        <v>1093</v>
      </c>
      <c r="C20" s="267"/>
      <c r="D20" s="268">
        <f t="shared" si="1"/>
        <v>0</v>
      </c>
      <c r="E20" s="267"/>
      <c r="F20" s="267"/>
      <c r="G20" s="267"/>
      <c r="H20" s="267"/>
      <c r="I20" s="287"/>
      <c r="J20" s="288">
        <f t="shared" si="2"/>
        <v>0</v>
      </c>
      <c r="K20" s="276" t="s">
        <v>1087</v>
      </c>
      <c r="L20" s="33">
        <v>1</v>
      </c>
      <c r="M20" s="157" t="s">
        <v>1123</v>
      </c>
      <c r="N20" s="157"/>
      <c r="O20" s="157" t="s">
        <v>457</v>
      </c>
      <c r="P20" s="164" t="s">
        <v>1094</v>
      </c>
    </row>
    <row r="21" s="92" customFormat="1" ht="20.1" customHeight="1" spans="1:16">
      <c r="A21" s="157" t="s">
        <v>1124</v>
      </c>
      <c r="B21" s="269" t="s">
        <v>1125</v>
      </c>
      <c r="C21" s="267">
        <v>18</v>
      </c>
      <c r="D21" s="268">
        <f t="shared" si="1"/>
        <v>21</v>
      </c>
      <c r="E21" s="267"/>
      <c r="F21" s="267"/>
      <c r="G21" s="267"/>
      <c r="H21" s="267"/>
      <c r="I21" s="287">
        <v>21</v>
      </c>
      <c r="J21" s="288">
        <f t="shared" si="2"/>
        <v>116.67</v>
      </c>
      <c r="K21" s="276" t="s">
        <v>1087</v>
      </c>
      <c r="L21" s="33">
        <v>1</v>
      </c>
      <c r="M21" s="157" t="s">
        <v>1124</v>
      </c>
      <c r="N21" s="157"/>
      <c r="O21" s="157" t="s">
        <v>457</v>
      </c>
      <c r="P21" s="163" t="s">
        <v>1126</v>
      </c>
    </row>
    <row r="22" s="92" customFormat="1" ht="20.1" customHeight="1" spans="1:16">
      <c r="A22" s="157" t="s">
        <v>1127</v>
      </c>
      <c r="B22" s="269" t="s">
        <v>1128</v>
      </c>
      <c r="C22" s="267"/>
      <c r="D22" s="268">
        <f t="shared" si="1"/>
        <v>0</v>
      </c>
      <c r="E22" s="267"/>
      <c r="F22" s="267"/>
      <c r="G22" s="267"/>
      <c r="H22" s="267"/>
      <c r="I22" s="287"/>
      <c r="J22" s="288">
        <f t="shared" si="2"/>
        <v>0</v>
      </c>
      <c r="K22" s="276" t="s">
        <v>1087</v>
      </c>
      <c r="L22" s="33">
        <v>1</v>
      </c>
      <c r="M22" s="157" t="s">
        <v>1127</v>
      </c>
      <c r="N22" s="157"/>
      <c r="O22" s="157" t="s">
        <v>457</v>
      </c>
      <c r="P22" s="163" t="s">
        <v>1129</v>
      </c>
    </row>
    <row r="23" s="92" customFormat="1" ht="20.1" customHeight="1" spans="1:16">
      <c r="A23" s="157" t="s">
        <v>1130</v>
      </c>
      <c r="B23" s="269" t="s">
        <v>1131</v>
      </c>
      <c r="C23" s="267"/>
      <c r="D23" s="268">
        <f t="shared" si="1"/>
        <v>10</v>
      </c>
      <c r="E23" s="267"/>
      <c r="F23" s="267"/>
      <c r="G23" s="267"/>
      <c r="H23" s="267"/>
      <c r="I23" s="287">
        <v>10</v>
      </c>
      <c r="J23" s="288">
        <f t="shared" si="2"/>
        <v>100</v>
      </c>
      <c r="K23" s="276" t="s">
        <v>1087</v>
      </c>
      <c r="L23" s="33">
        <v>1</v>
      </c>
      <c r="M23" s="157" t="s">
        <v>1130</v>
      </c>
      <c r="N23" s="157"/>
      <c r="O23" s="157" t="s">
        <v>457</v>
      </c>
      <c r="P23" s="164" t="s">
        <v>1132</v>
      </c>
    </row>
    <row r="24" s="92" customFormat="1" ht="20.1" customHeight="1" spans="1:16">
      <c r="A24" s="157" t="s">
        <v>1133</v>
      </c>
      <c r="B24" s="269" t="s">
        <v>1114</v>
      </c>
      <c r="C24" s="267"/>
      <c r="D24" s="268">
        <f t="shared" si="1"/>
        <v>0</v>
      </c>
      <c r="E24" s="267"/>
      <c r="F24" s="267"/>
      <c r="G24" s="267"/>
      <c r="H24" s="267"/>
      <c r="I24" s="287"/>
      <c r="J24" s="288">
        <f t="shared" si="2"/>
        <v>0</v>
      </c>
      <c r="K24" s="276" t="s">
        <v>1087</v>
      </c>
      <c r="L24" s="33">
        <v>1</v>
      </c>
      <c r="M24" s="157" t="s">
        <v>1133</v>
      </c>
      <c r="N24" s="157"/>
      <c r="O24" s="157" t="s">
        <v>457</v>
      </c>
      <c r="P24" s="164" t="s">
        <v>1115</v>
      </c>
    </row>
    <row r="25" s="92" customFormat="1" ht="20.1" customHeight="1" spans="1:16">
      <c r="A25" s="157" t="s">
        <v>1134</v>
      </c>
      <c r="B25" s="269" t="s">
        <v>1135</v>
      </c>
      <c r="C25" s="267"/>
      <c r="D25" s="268">
        <f t="shared" si="1"/>
        <v>0</v>
      </c>
      <c r="E25" s="267"/>
      <c r="F25" s="267"/>
      <c r="G25" s="267"/>
      <c r="H25" s="267"/>
      <c r="I25" s="287"/>
      <c r="J25" s="288">
        <f t="shared" si="2"/>
        <v>0</v>
      </c>
      <c r="K25" s="276" t="s">
        <v>1087</v>
      </c>
      <c r="L25" s="33">
        <v>1</v>
      </c>
      <c r="M25" s="157" t="s">
        <v>1134</v>
      </c>
      <c r="N25" s="157"/>
      <c r="O25" s="157" t="s">
        <v>457</v>
      </c>
      <c r="P25" s="163" t="s">
        <v>1136</v>
      </c>
    </row>
    <row r="26" s="93" customFormat="1" ht="20.1" customHeight="1" spans="1:16">
      <c r="A26" s="263" t="s">
        <v>458</v>
      </c>
      <c r="B26" s="264" t="s">
        <v>224</v>
      </c>
      <c r="C26" s="265">
        <f t="shared" ref="C26:I26" si="5">SUM(C27:C35)</f>
        <v>7979</v>
      </c>
      <c r="D26" s="265">
        <f t="shared" si="1"/>
        <v>10041</v>
      </c>
      <c r="E26" s="265">
        <f t="shared" si="5"/>
        <v>0</v>
      </c>
      <c r="F26" s="265">
        <f t="shared" si="5"/>
        <v>0</v>
      </c>
      <c r="G26" s="265">
        <f t="shared" si="5"/>
        <v>0</v>
      </c>
      <c r="H26" s="265">
        <f t="shared" si="5"/>
        <v>0</v>
      </c>
      <c r="I26" s="265">
        <f t="shared" si="5"/>
        <v>10041</v>
      </c>
      <c r="J26" s="283">
        <f t="shared" si="2"/>
        <v>125.84</v>
      </c>
      <c r="K26" s="284" t="s">
        <v>1082</v>
      </c>
      <c r="L26" s="285"/>
      <c r="M26" s="263" t="s">
        <v>458</v>
      </c>
      <c r="N26" s="263" t="s">
        <v>455</v>
      </c>
      <c r="O26" s="263" t="s">
        <v>458</v>
      </c>
      <c r="P26" s="286" t="s">
        <v>1137</v>
      </c>
    </row>
    <row r="27" s="92" customFormat="1" ht="20.1" customHeight="1" spans="1:16">
      <c r="A27" s="157" t="s">
        <v>1138</v>
      </c>
      <c r="B27" s="266" t="s">
        <v>1086</v>
      </c>
      <c r="C27" s="267">
        <v>6052</v>
      </c>
      <c r="D27" s="268">
        <f t="shared" si="1"/>
        <v>6061</v>
      </c>
      <c r="E27" s="267"/>
      <c r="F27" s="267"/>
      <c r="G27" s="267"/>
      <c r="H27" s="267"/>
      <c r="I27" s="287">
        <v>6061</v>
      </c>
      <c r="J27" s="288">
        <f t="shared" si="2"/>
        <v>100.15</v>
      </c>
      <c r="K27" s="276" t="s">
        <v>1087</v>
      </c>
      <c r="L27" s="33">
        <v>1</v>
      </c>
      <c r="M27" s="157" t="s">
        <v>1138</v>
      </c>
      <c r="N27" s="157"/>
      <c r="O27" s="157" t="s">
        <v>458</v>
      </c>
      <c r="P27" s="164" t="s">
        <v>1088</v>
      </c>
    </row>
    <row r="28" s="92" customFormat="1" ht="20.1" customHeight="1" spans="1:16">
      <c r="A28" s="157" t="s">
        <v>1139</v>
      </c>
      <c r="B28" s="266" t="s">
        <v>1090</v>
      </c>
      <c r="C28" s="267"/>
      <c r="D28" s="268">
        <f t="shared" si="1"/>
        <v>0</v>
      </c>
      <c r="E28" s="267"/>
      <c r="F28" s="267"/>
      <c r="G28" s="267"/>
      <c r="H28" s="267"/>
      <c r="I28" s="287"/>
      <c r="J28" s="288">
        <f t="shared" si="2"/>
        <v>0</v>
      </c>
      <c r="K28" s="276" t="s">
        <v>1087</v>
      </c>
      <c r="L28" s="33">
        <v>1</v>
      </c>
      <c r="M28" s="157" t="s">
        <v>1139</v>
      </c>
      <c r="N28" s="157"/>
      <c r="O28" s="157" t="s">
        <v>458</v>
      </c>
      <c r="P28" s="164" t="s">
        <v>1091</v>
      </c>
    </row>
    <row r="29" s="92" customFormat="1" ht="20.1" customHeight="1" spans="1:16">
      <c r="A29" s="157" t="s">
        <v>1140</v>
      </c>
      <c r="B29" s="269" t="s">
        <v>1093</v>
      </c>
      <c r="C29" s="267">
        <v>1124</v>
      </c>
      <c r="D29" s="268">
        <f t="shared" si="1"/>
        <v>1008</v>
      </c>
      <c r="E29" s="267"/>
      <c r="F29" s="267"/>
      <c r="G29" s="267"/>
      <c r="H29" s="267"/>
      <c r="I29" s="287">
        <v>1008</v>
      </c>
      <c r="J29" s="288">
        <f t="shared" si="2"/>
        <v>89.68</v>
      </c>
      <c r="K29" s="276" t="s">
        <v>1087</v>
      </c>
      <c r="L29" s="33">
        <v>1</v>
      </c>
      <c r="M29" s="157" t="s">
        <v>1140</v>
      </c>
      <c r="N29" s="157"/>
      <c r="O29" s="157" t="s">
        <v>458</v>
      </c>
      <c r="P29" s="164" t="s">
        <v>1094</v>
      </c>
    </row>
    <row r="30" s="92" customFormat="1" ht="20.1" customHeight="1" spans="1:16">
      <c r="A30" s="157" t="s">
        <v>1141</v>
      </c>
      <c r="B30" s="269" t="s">
        <v>1142</v>
      </c>
      <c r="C30" s="267"/>
      <c r="D30" s="268">
        <f t="shared" si="1"/>
        <v>0</v>
      </c>
      <c r="E30" s="267"/>
      <c r="F30" s="267"/>
      <c r="G30" s="267"/>
      <c r="H30" s="267"/>
      <c r="I30" s="287"/>
      <c r="J30" s="288">
        <f t="shared" si="2"/>
        <v>0</v>
      </c>
      <c r="K30" s="276" t="s">
        <v>1087</v>
      </c>
      <c r="L30" s="33">
        <v>1</v>
      </c>
      <c r="M30" s="157" t="s">
        <v>1141</v>
      </c>
      <c r="N30" s="157"/>
      <c r="O30" s="157" t="s">
        <v>458</v>
      </c>
      <c r="P30" s="163" t="s">
        <v>1143</v>
      </c>
    </row>
    <row r="31" s="92" customFormat="1" ht="20.1" customHeight="1" spans="1:16">
      <c r="A31" s="157" t="s">
        <v>1144</v>
      </c>
      <c r="B31" s="269" t="s">
        <v>1145</v>
      </c>
      <c r="C31" s="267"/>
      <c r="D31" s="268">
        <f t="shared" si="1"/>
        <v>0</v>
      </c>
      <c r="E31" s="267"/>
      <c r="F31" s="267"/>
      <c r="G31" s="267"/>
      <c r="H31" s="267"/>
      <c r="I31" s="287"/>
      <c r="J31" s="288">
        <f t="shared" si="2"/>
        <v>0</v>
      </c>
      <c r="K31" s="276" t="s">
        <v>1087</v>
      </c>
      <c r="L31" s="33">
        <v>1</v>
      </c>
      <c r="M31" s="157" t="s">
        <v>1144</v>
      </c>
      <c r="N31" s="157"/>
      <c r="O31" s="157" t="s">
        <v>458</v>
      </c>
      <c r="P31" s="163" t="s">
        <v>1146</v>
      </c>
    </row>
    <row r="32" s="92" customFormat="1" ht="20.1" customHeight="1" spans="1:16">
      <c r="A32" s="157" t="s">
        <v>1147</v>
      </c>
      <c r="B32" s="266" t="s">
        <v>1148</v>
      </c>
      <c r="C32" s="267">
        <v>743</v>
      </c>
      <c r="D32" s="268">
        <f t="shared" si="1"/>
        <v>381</v>
      </c>
      <c r="E32" s="267"/>
      <c r="F32" s="267"/>
      <c r="G32" s="267"/>
      <c r="H32" s="267"/>
      <c r="I32" s="287">
        <v>381</v>
      </c>
      <c r="J32" s="288">
        <f t="shared" si="2"/>
        <v>51.28</v>
      </c>
      <c r="K32" s="276" t="s">
        <v>1087</v>
      </c>
      <c r="L32" s="33">
        <v>1</v>
      </c>
      <c r="M32" s="157" t="s">
        <v>1147</v>
      </c>
      <c r="N32" s="157"/>
      <c r="O32" s="157" t="s">
        <v>458</v>
      </c>
      <c r="P32" s="163" t="s">
        <v>1149</v>
      </c>
    </row>
    <row r="33" s="92" customFormat="1" ht="20.1" customHeight="1" spans="1:16">
      <c r="A33" s="157" t="s">
        <v>1150</v>
      </c>
      <c r="B33" s="269" t="s">
        <v>1151</v>
      </c>
      <c r="C33" s="267"/>
      <c r="D33" s="268">
        <f t="shared" si="1"/>
        <v>0</v>
      </c>
      <c r="E33" s="267"/>
      <c r="F33" s="267"/>
      <c r="G33" s="267"/>
      <c r="H33" s="267"/>
      <c r="I33" s="287"/>
      <c r="J33" s="288">
        <f t="shared" si="2"/>
        <v>0</v>
      </c>
      <c r="K33" s="276" t="s">
        <v>1087</v>
      </c>
      <c r="L33" s="33">
        <v>1</v>
      </c>
      <c r="M33" s="157" t="s">
        <v>1150</v>
      </c>
      <c r="N33" s="157"/>
      <c r="O33" s="157" t="s">
        <v>458</v>
      </c>
      <c r="P33" s="163" t="s">
        <v>1152</v>
      </c>
    </row>
    <row r="34" s="92" customFormat="1" ht="20.1" customHeight="1" spans="1:16">
      <c r="A34" s="157" t="s">
        <v>1153</v>
      </c>
      <c r="B34" s="269" t="s">
        <v>1114</v>
      </c>
      <c r="C34" s="267"/>
      <c r="D34" s="268">
        <f t="shared" si="1"/>
        <v>2559</v>
      </c>
      <c r="E34" s="267"/>
      <c r="F34" s="267"/>
      <c r="G34" s="267"/>
      <c r="H34" s="267"/>
      <c r="I34" s="287">
        <v>2559</v>
      </c>
      <c r="J34" s="288">
        <f t="shared" si="2"/>
        <v>100</v>
      </c>
      <c r="K34" s="276" t="s">
        <v>1087</v>
      </c>
      <c r="L34" s="33">
        <v>1</v>
      </c>
      <c r="M34" s="157" t="s">
        <v>1153</v>
      </c>
      <c r="N34" s="157"/>
      <c r="O34" s="157" t="s">
        <v>458</v>
      </c>
      <c r="P34" s="164" t="s">
        <v>1115</v>
      </c>
    </row>
    <row r="35" s="92" customFormat="1" ht="20.1" customHeight="1" spans="1:16">
      <c r="A35" s="157" t="s">
        <v>1154</v>
      </c>
      <c r="B35" s="269" t="s">
        <v>1155</v>
      </c>
      <c r="C35" s="267">
        <v>60</v>
      </c>
      <c r="D35" s="268">
        <f t="shared" si="1"/>
        <v>32</v>
      </c>
      <c r="E35" s="267"/>
      <c r="F35" s="267"/>
      <c r="G35" s="267"/>
      <c r="H35" s="267"/>
      <c r="I35" s="287">
        <v>32</v>
      </c>
      <c r="J35" s="288">
        <f t="shared" si="2"/>
        <v>53.33</v>
      </c>
      <c r="K35" s="276" t="s">
        <v>1087</v>
      </c>
      <c r="L35" s="33">
        <v>1</v>
      </c>
      <c r="M35" s="157" t="s">
        <v>1154</v>
      </c>
      <c r="N35" s="157"/>
      <c r="O35" s="157" t="s">
        <v>458</v>
      </c>
      <c r="P35" s="163" t="s">
        <v>1156</v>
      </c>
    </row>
    <row r="36" s="93" customFormat="1" ht="20.1" customHeight="1" spans="1:16">
      <c r="A36" s="263" t="s">
        <v>459</v>
      </c>
      <c r="B36" s="264" t="s">
        <v>225</v>
      </c>
      <c r="C36" s="265">
        <f t="shared" ref="C36:I36" si="6">SUM(C37:C46)</f>
        <v>375</v>
      </c>
      <c r="D36" s="265">
        <f t="shared" si="1"/>
        <v>400</v>
      </c>
      <c r="E36" s="265">
        <f t="shared" si="6"/>
        <v>25</v>
      </c>
      <c r="F36" s="265">
        <f t="shared" si="6"/>
        <v>0</v>
      </c>
      <c r="G36" s="265">
        <f t="shared" si="6"/>
        <v>0</v>
      </c>
      <c r="H36" s="265">
        <f t="shared" si="6"/>
        <v>0</v>
      </c>
      <c r="I36" s="265">
        <f t="shared" si="6"/>
        <v>375</v>
      </c>
      <c r="J36" s="283">
        <f t="shared" si="2"/>
        <v>106.67</v>
      </c>
      <c r="K36" s="284" t="s">
        <v>1082</v>
      </c>
      <c r="L36" s="285"/>
      <c r="M36" s="263" t="s">
        <v>459</v>
      </c>
      <c r="N36" s="263" t="s">
        <v>455</v>
      </c>
      <c r="O36" s="263" t="s">
        <v>459</v>
      </c>
      <c r="P36" s="286" t="s">
        <v>1157</v>
      </c>
    </row>
    <row r="37" s="92" customFormat="1" ht="20.1" customHeight="1" spans="1:16">
      <c r="A37" s="157" t="s">
        <v>1158</v>
      </c>
      <c r="B37" s="266" t="s">
        <v>1086</v>
      </c>
      <c r="C37" s="267">
        <v>317</v>
      </c>
      <c r="D37" s="268">
        <f t="shared" si="1"/>
        <v>302</v>
      </c>
      <c r="E37" s="267"/>
      <c r="F37" s="267"/>
      <c r="G37" s="267"/>
      <c r="H37" s="267"/>
      <c r="I37" s="287">
        <v>302</v>
      </c>
      <c r="J37" s="288">
        <f t="shared" si="2"/>
        <v>95.27</v>
      </c>
      <c r="K37" s="276" t="s">
        <v>1087</v>
      </c>
      <c r="L37" s="33">
        <v>1</v>
      </c>
      <c r="M37" s="157" t="s">
        <v>1158</v>
      </c>
      <c r="N37" s="157"/>
      <c r="O37" s="157" t="s">
        <v>459</v>
      </c>
      <c r="P37" s="164" t="s">
        <v>1088</v>
      </c>
    </row>
    <row r="38" s="92" customFormat="1" ht="20.1" customHeight="1" spans="1:16">
      <c r="A38" s="157" t="s">
        <v>1159</v>
      </c>
      <c r="B38" s="266" t="s">
        <v>1090</v>
      </c>
      <c r="C38" s="267"/>
      <c r="D38" s="268">
        <f t="shared" si="1"/>
        <v>0</v>
      </c>
      <c r="E38" s="267"/>
      <c r="F38" s="267"/>
      <c r="G38" s="267"/>
      <c r="H38" s="267"/>
      <c r="I38" s="287"/>
      <c r="J38" s="288">
        <f t="shared" si="2"/>
        <v>0</v>
      </c>
      <c r="K38" s="276" t="s">
        <v>1087</v>
      </c>
      <c r="L38" s="33">
        <v>1</v>
      </c>
      <c r="M38" s="157" t="s">
        <v>1159</v>
      </c>
      <c r="N38" s="157"/>
      <c r="O38" s="157" t="s">
        <v>459</v>
      </c>
      <c r="P38" s="164" t="s">
        <v>1091</v>
      </c>
    </row>
    <row r="39" s="92" customFormat="1" ht="20.1" customHeight="1" spans="1:16">
      <c r="A39" s="157" t="s">
        <v>1160</v>
      </c>
      <c r="B39" s="269" t="s">
        <v>1093</v>
      </c>
      <c r="C39" s="267"/>
      <c r="D39" s="268">
        <f t="shared" si="1"/>
        <v>0</v>
      </c>
      <c r="E39" s="267"/>
      <c r="F39" s="267"/>
      <c r="G39" s="267"/>
      <c r="H39" s="267"/>
      <c r="I39" s="287"/>
      <c r="J39" s="288">
        <f t="shared" si="2"/>
        <v>0</v>
      </c>
      <c r="K39" s="276" t="s">
        <v>1087</v>
      </c>
      <c r="L39" s="33">
        <v>1</v>
      </c>
      <c r="M39" s="157" t="s">
        <v>1160</v>
      </c>
      <c r="N39" s="157"/>
      <c r="O39" s="157" t="s">
        <v>459</v>
      </c>
      <c r="P39" s="164" t="s">
        <v>1094</v>
      </c>
    </row>
    <row r="40" s="92" customFormat="1" ht="20.1" customHeight="1" spans="1:16">
      <c r="A40" s="157" t="s">
        <v>1161</v>
      </c>
      <c r="B40" s="269" t="s">
        <v>1162</v>
      </c>
      <c r="C40" s="267"/>
      <c r="D40" s="268">
        <f t="shared" si="1"/>
        <v>0</v>
      </c>
      <c r="E40" s="267"/>
      <c r="F40" s="267"/>
      <c r="G40" s="267"/>
      <c r="H40" s="267"/>
      <c r="I40" s="287"/>
      <c r="J40" s="288">
        <f t="shared" si="2"/>
        <v>0</v>
      </c>
      <c r="K40" s="276" t="s">
        <v>1087</v>
      </c>
      <c r="L40" s="33">
        <v>1</v>
      </c>
      <c r="M40" s="157" t="s">
        <v>1161</v>
      </c>
      <c r="N40" s="157"/>
      <c r="O40" s="157" t="s">
        <v>459</v>
      </c>
      <c r="P40" s="163" t="s">
        <v>1163</v>
      </c>
    </row>
    <row r="41" s="92" customFormat="1" ht="20.1" customHeight="1" spans="1:16">
      <c r="A41" s="157" t="s">
        <v>1164</v>
      </c>
      <c r="B41" s="269" t="s">
        <v>1165</v>
      </c>
      <c r="C41" s="267"/>
      <c r="D41" s="268">
        <f t="shared" si="1"/>
        <v>0</v>
      </c>
      <c r="E41" s="267"/>
      <c r="F41" s="267"/>
      <c r="G41" s="267"/>
      <c r="H41" s="267"/>
      <c r="I41" s="287"/>
      <c r="J41" s="288">
        <f t="shared" si="2"/>
        <v>0</v>
      </c>
      <c r="K41" s="276" t="s">
        <v>1087</v>
      </c>
      <c r="L41" s="33">
        <v>1</v>
      </c>
      <c r="M41" s="157" t="s">
        <v>1164</v>
      </c>
      <c r="N41" s="157"/>
      <c r="O41" s="157" t="s">
        <v>459</v>
      </c>
      <c r="P41" s="163" t="s">
        <v>1166</v>
      </c>
    </row>
    <row r="42" s="92" customFormat="1" ht="20.1" customHeight="1" spans="1:16">
      <c r="A42" s="157" t="s">
        <v>1167</v>
      </c>
      <c r="B42" s="266" t="s">
        <v>1168</v>
      </c>
      <c r="C42" s="267"/>
      <c r="D42" s="268">
        <f t="shared" si="1"/>
        <v>25</v>
      </c>
      <c r="E42" s="267">
        <v>25</v>
      </c>
      <c r="F42" s="267"/>
      <c r="G42" s="267"/>
      <c r="H42" s="267"/>
      <c r="I42" s="287"/>
      <c r="J42" s="288">
        <f t="shared" si="2"/>
        <v>100</v>
      </c>
      <c r="K42" s="276" t="s">
        <v>1087</v>
      </c>
      <c r="L42" s="33">
        <v>1</v>
      </c>
      <c r="M42" s="157" t="s">
        <v>1167</v>
      </c>
      <c r="N42" s="157"/>
      <c r="O42" s="157" t="s">
        <v>459</v>
      </c>
      <c r="P42" s="163" t="s">
        <v>1169</v>
      </c>
    </row>
    <row r="43" s="92" customFormat="1" ht="20.1" customHeight="1" spans="1:16">
      <c r="A43" s="157" t="s">
        <v>1170</v>
      </c>
      <c r="B43" s="266" t="s">
        <v>1171</v>
      </c>
      <c r="C43" s="267"/>
      <c r="D43" s="268">
        <f t="shared" si="1"/>
        <v>0</v>
      </c>
      <c r="E43" s="267"/>
      <c r="F43" s="267"/>
      <c r="G43" s="267"/>
      <c r="H43" s="267"/>
      <c r="I43" s="287"/>
      <c r="J43" s="288">
        <f t="shared" si="2"/>
        <v>0</v>
      </c>
      <c r="K43" s="276" t="s">
        <v>1087</v>
      </c>
      <c r="L43" s="33">
        <v>1</v>
      </c>
      <c r="M43" s="157" t="s">
        <v>1170</v>
      </c>
      <c r="N43" s="157"/>
      <c r="O43" s="157" t="s">
        <v>459</v>
      </c>
      <c r="P43" s="163" t="s">
        <v>1172</v>
      </c>
    </row>
    <row r="44" s="92" customFormat="1" ht="20.1" customHeight="1" spans="1:16">
      <c r="A44" s="157" t="s">
        <v>1173</v>
      </c>
      <c r="B44" s="266" t="s">
        <v>1174</v>
      </c>
      <c r="C44" s="267"/>
      <c r="D44" s="268">
        <f t="shared" si="1"/>
        <v>0</v>
      </c>
      <c r="E44" s="267"/>
      <c r="F44" s="267"/>
      <c r="G44" s="267"/>
      <c r="H44" s="267"/>
      <c r="I44" s="287"/>
      <c r="J44" s="288">
        <f t="shared" si="2"/>
        <v>0</v>
      </c>
      <c r="K44" s="276" t="s">
        <v>1087</v>
      </c>
      <c r="L44" s="33">
        <v>1</v>
      </c>
      <c r="M44" s="157" t="s">
        <v>1173</v>
      </c>
      <c r="N44" s="157"/>
      <c r="O44" s="157" t="s">
        <v>459</v>
      </c>
      <c r="P44" s="163" t="s">
        <v>1175</v>
      </c>
    </row>
    <row r="45" s="92" customFormat="1" ht="20.1" customHeight="1" spans="1:16">
      <c r="A45" s="157" t="s">
        <v>1176</v>
      </c>
      <c r="B45" s="266" t="s">
        <v>1114</v>
      </c>
      <c r="C45" s="267">
        <v>58</v>
      </c>
      <c r="D45" s="268">
        <f t="shared" si="1"/>
        <v>73</v>
      </c>
      <c r="E45" s="267"/>
      <c r="F45" s="267"/>
      <c r="G45" s="267"/>
      <c r="H45" s="267"/>
      <c r="I45" s="287">
        <v>73</v>
      </c>
      <c r="J45" s="288">
        <f t="shared" si="2"/>
        <v>125.86</v>
      </c>
      <c r="K45" s="276" t="s">
        <v>1087</v>
      </c>
      <c r="L45" s="33">
        <v>1</v>
      </c>
      <c r="M45" s="157" t="s">
        <v>1176</v>
      </c>
      <c r="N45" s="157"/>
      <c r="O45" s="157" t="s">
        <v>459</v>
      </c>
      <c r="P45" s="164" t="s">
        <v>1115</v>
      </c>
    </row>
    <row r="46" s="92" customFormat="1" ht="20.1" customHeight="1" spans="1:16">
      <c r="A46" s="157" t="s">
        <v>1177</v>
      </c>
      <c r="B46" s="269" t="s">
        <v>1178</v>
      </c>
      <c r="C46" s="267"/>
      <c r="D46" s="268">
        <f t="shared" si="1"/>
        <v>0</v>
      </c>
      <c r="E46" s="267"/>
      <c r="F46" s="267"/>
      <c r="G46" s="267"/>
      <c r="H46" s="267"/>
      <c r="I46" s="287"/>
      <c r="J46" s="288">
        <f t="shared" si="2"/>
        <v>0</v>
      </c>
      <c r="K46" s="276" t="s">
        <v>1087</v>
      </c>
      <c r="L46" s="33">
        <v>1</v>
      </c>
      <c r="M46" s="157" t="s">
        <v>1177</v>
      </c>
      <c r="N46" s="157"/>
      <c r="O46" s="157" t="s">
        <v>459</v>
      </c>
      <c r="P46" s="163" t="s">
        <v>1179</v>
      </c>
    </row>
    <row r="47" s="93" customFormat="1" ht="20.1" customHeight="1" spans="1:16">
      <c r="A47" s="263" t="s">
        <v>460</v>
      </c>
      <c r="B47" s="264" t="s">
        <v>226</v>
      </c>
      <c r="C47" s="265">
        <f t="shared" ref="C47:I47" si="7">SUM(C48:C57)</f>
        <v>385</v>
      </c>
      <c r="D47" s="265">
        <f t="shared" si="1"/>
        <v>344</v>
      </c>
      <c r="E47" s="265">
        <f t="shared" si="7"/>
        <v>0</v>
      </c>
      <c r="F47" s="265">
        <f t="shared" si="7"/>
        <v>0</v>
      </c>
      <c r="G47" s="265">
        <f t="shared" si="7"/>
        <v>11</v>
      </c>
      <c r="H47" s="265">
        <f t="shared" si="7"/>
        <v>0</v>
      </c>
      <c r="I47" s="265">
        <f t="shared" si="7"/>
        <v>333</v>
      </c>
      <c r="J47" s="283">
        <f t="shared" si="2"/>
        <v>89.35</v>
      </c>
      <c r="K47" s="284" t="s">
        <v>1082</v>
      </c>
      <c r="L47" s="285"/>
      <c r="M47" s="263" t="s">
        <v>460</v>
      </c>
      <c r="N47" s="263" t="s">
        <v>455</v>
      </c>
      <c r="O47" s="263" t="s">
        <v>460</v>
      </c>
      <c r="P47" s="286" t="s">
        <v>1180</v>
      </c>
    </row>
    <row r="48" s="92" customFormat="1" ht="20.1" customHeight="1" spans="1:16">
      <c r="A48" s="157" t="s">
        <v>1181</v>
      </c>
      <c r="B48" s="269" t="s">
        <v>1086</v>
      </c>
      <c r="C48" s="267">
        <v>246</v>
      </c>
      <c r="D48" s="268">
        <f t="shared" si="1"/>
        <v>225</v>
      </c>
      <c r="E48" s="267"/>
      <c r="F48" s="267"/>
      <c r="G48" s="267"/>
      <c r="H48" s="267"/>
      <c r="I48" s="287">
        <v>225</v>
      </c>
      <c r="J48" s="288">
        <f t="shared" si="2"/>
        <v>91.46</v>
      </c>
      <c r="K48" s="276" t="s">
        <v>1087</v>
      </c>
      <c r="L48" s="33">
        <v>1</v>
      </c>
      <c r="M48" s="157" t="s">
        <v>1181</v>
      </c>
      <c r="N48" s="157"/>
      <c r="O48" s="157" t="s">
        <v>460</v>
      </c>
      <c r="P48" s="164" t="s">
        <v>1088</v>
      </c>
    </row>
    <row r="49" s="92" customFormat="1" ht="20.1" customHeight="1" spans="1:16">
      <c r="A49" s="157" t="s">
        <v>1182</v>
      </c>
      <c r="B49" s="36" t="s">
        <v>1090</v>
      </c>
      <c r="C49" s="267"/>
      <c r="D49" s="268">
        <f t="shared" si="1"/>
        <v>0</v>
      </c>
      <c r="E49" s="267"/>
      <c r="F49" s="267"/>
      <c r="G49" s="267"/>
      <c r="H49" s="267"/>
      <c r="I49" s="287"/>
      <c r="J49" s="288">
        <f t="shared" si="2"/>
        <v>0</v>
      </c>
      <c r="K49" s="276" t="s">
        <v>1087</v>
      </c>
      <c r="L49" s="33">
        <v>1</v>
      </c>
      <c r="M49" s="157" t="s">
        <v>1182</v>
      </c>
      <c r="N49" s="157"/>
      <c r="O49" s="157" t="s">
        <v>460</v>
      </c>
      <c r="P49" s="164" t="s">
        <v>1091</v>
      </c>
    </row>
    <row r="50" s="92" customFormat="1" ht="20.1" customHeight="1" spans="1:16">
      <c r="A50" s="157" t="s">
        <v>1183</v>
      </c>
      <c r="B50" s="266" t="s">
        <v>1093</v>
      </c>
      <c r="C50" s="267"/>
      <c r="D50" s="268">
        <f t="shared" si="1"/>
        <v>0</v>
      </c>
      <c r="E50" s="267"/>
      <c r="F50" s="267"/>
      <c r="G50" s="267"/>
      <c r="H50" s="267"/>
      <c r="I50" s="287"/>
      <c r="J50" s="288">
        <f t="shared" si="2"/>
        <v>0</v>
      </c>
      <c r="K50" s="276" t="s">
        <v>1087</v>
      </c>
      <c r="L50" s="33">
        <v>1</v>
      </c>
      <c r="M50" s="157" t="s">
        <v>1183</v>
      </c>
      <c r="N50" s="157"/>
      <c r="O50" s="157" t="s">
        <v>460</v>
      </c>
      <c r="P50" s="164" t="s">
        <v>1094</v>
      </c>
    </row>
    <row r="51" s="92" customFormat="1" ht="20.1" customHeight="1" spans="1:16">
      <c r="A51" s="157" t="s">
        <v>1184</v>
      </c>
      <c r="B51" s="266" t="s">
        <v>1185</v>
      </c>
      <c r="C51" s="267"/>
      <c r="D51" s="268">
        <f t="shared" si="1"/>
        <v>0</v>
      </c>
      <c r="E51" s="267"/>
      <c r="F51" s="267"/>
      <c r="G51" s="267"/>
      <c r="H51" s="267"/>
      <c r="I51" s="287"/>
      <c r="J51" s="288">
        <f t="shared" si="2"/>
        <v>0</v>
      </c>
      <c r="K51" s="276" t="s">
        <v>1087</v>
      </c>
      <c r="L51" s="33">
        <v>1</v>
      </c>
      <c r="M51" s="157" t="s">
        <v>1184</v>
      </c>
      <c r="N51" s="157"/>
      <c r="O51" s="157" t="s">
        <v>460</v>
      </c>
      <c r="P51" s="163" t="s">
        <v>1186</v>
      </c>
    </row>
    <row r="52" s="92" customFormat="1" ht="20.1" customHeight="1" spans="1:16">
      <c r="A52" s="157" t="s">
        <v>1187</v>
      </c>
      <c r="B52" s="266" t="s">
        <v>1188</v>
      </c>
      <c r="C52" s="267"/>
      <c r="D52" s="268">
        <f t="shared" si="1"/>
        <v>41</v>
      </c>
      <c r="E52" s="267"/>
      <c r="F52" s="267"/>
      <c r="G52" s="267"/>
      <c r="H52" s="267"/>
      <c r="I52" s="287">
        <v>41</v>
      </c>
      <c r="J52" s="288">
        <f t="shared" si="2"/>
        <v>100</v>
      </c>
      <c r="K52" s="276" t="s">
        <v>1087</v>
      </c>
      <c r="L52" s="33">
        <v>1</v>
      </c>
      <c r="M52" s="157" t="s">
        <v>1187</v>
      </c>
      <c r="N52" s="157"/>
      <c r="O52" s="157" t="s">
        <v>460</v>
      </c>
      <c r="P52" s="163" t="s">
        <v>1189</v>
      </c>
    </row>
    <row r="53" s="92" customFormat="1" ht="20.1" customHeight="1" spans="1:16">
      <c r="A53" s="157" t="s">
        <v>1190</v>
      </c>
      <c r="B53" s="269" t="s">
        <v>1191</v>
      </c>
      <c r="C53" s="267">
        <v>103</v>
      </c>
      <c r="D53" s="268">
        <f t="shared" si="1"/>
        <v>35</v>
      </c>
      <c r="E53" s="267"/>
      <c r="F53" s="267"/>
      <c r="G53" s="267"/>
      <c r="H53" s="267"/>
      <c r="I53" s="287">
        <v>35</v>
      </c>
      <c r="J53" s="288">
        <f t="shared" si="2"/>
        <v>33.98</v>
      </c>
      <c r="K53" s="276" t="s">
        <v>1087</v>
      </c>
      <c r="L53" s="33">
        <v>1</v>
      </c>
      <c r="M53" s="157" t="s">
        <v>1190</v>
      </c>
      <c r="N53" s="157"/>
      <c r="O53" s="157" t="s">
        <v>460</v>
      </c>
      <c r="P53" s="163" t="s">
        <v>1192</v>
      </c>
    </row>
    <row r="54" s="92" customFormat="1" ht="20.1" customHeight="1" spans="1:16">
      <c r="A54" s="157" t="s">
        <v>1193</v>
      </c>
      <c r="B54" s="269" t="s">
        <v>1194</v>
      </c>
      <c r="C54" s="267">
        <v>4</v>
      </c>
      <c r="D54" s="268">
        <f t="shared" si="1"/>
        <v>11</v>
      </c>
      <c r="E54" s="267"/>
      <c r="F54" s="267"/>
      <c r="G54" s="267">
        <v>11</v>
      </c>
      <c r="H54" s="267"/>
      <c r="I54" s="287"/>
      <c r="J54" s="288">
        <f t="shared" si="2"/>
        <v>275</v>
      </c>
      <c r="K54" s="276" t="s">
        <v>1087</v>
      </c>
      <c r="L54" s="33">
        <v>1</v>
      </c>
      <c r="M54" s="157" t="s">
        <v>1193</v>
      </c>
      <c r="N54" s="157"/>
      <c r="O54" s="157" t="s">
        <v>460</v>
      </c>
      <c r="P54" s="163" t="s">
        <v>1195</v>
      </c>
    </row>
    <row r="55" s="92" customFormat="1" ht="20.1" customHeight="1" spans="1:16">
      <c r="A55" s="157" t="s">
        <v>1196</v>
      </c>
      <c r="B55" s="269" t="s">
        <v>1197</v>
      </c>
      <c r="C55" s="267">
        <v>32</v>
      </c>
      <c r="D55" s="268">
        <f t="shared" si="1"/>
        <v>32</v>
      </c>
      <c r="E55" s="267"/>
      <c r="F55" s="267"/>
      <c r="G55" s="267"/>
      <c r="H55" s="267"/>
      <c r="I55" s="287">
        <v>32</v>
      </c>
      <c r="J55" s="288">
        <f t="shared" si="2"/>
        <v>100</v>
      </c>
      <c r="K55" s="276" t="s">
        <v>1087</v>
      </c>
      <c r="L55" s="33">
        <v>1</v>
      </c>
      <c r="M55" s="157" t="s">
        <v>1196</v>
      </c>
      <c r="N55" s="157"/>
      <c r="O55" s="157" t="s">
        <v>460</v>
      </c>
      <c r="P55" s="163" t="s">
        <v>1198</v>
      </c>
    </row>
    <row r="56" s="92" customFormat="1" ht="20.1" customHeight="1" spans="1:16">
      <c r="A56" s="157" t="s">
        <v>1199</v>
      </c>
      <c r="B56" s="266" t="s">
        <v>1114</v>
      </c>
      <c r="C56" s="267"/>
      <c r="D56" s="268">
        <f t="shared" si="1"/>
        <v>0</v>
      </c>
      <c r="E56" s="267"/>
      <c r="F56" s="267"/>
      <c r="G56" s="267"/>
      <c r="H56" s="267"/>
      <c r="I56" s="287"/>
      <c r="J56" s="288">
        <f t="shared" si="2"/>
        <v>0</v>
      </c>
      <c r="K56" s="276" t="s">
        <v>1087</v>
      </c>
      <c r="L56" s="33">
        <v>1</v>
      </c>
      <c r="M56" s="157" t="s">
        <v>1199</v>
      </c>
      <c r="N56" s="157"/>
      <c r="O56" s="157" t="s">
        <v>460</v>
      </c>
      <c r="P56" s="164" t="s">
        <v>1115</v>
      </c>
    </row>
    <row r="57" s="92" customFormat="1" ht="20.1" customHeight="1" spans="1:16">
      <c r="A57" s="157" t="s">
        <v>1200</v>
      </c>
      <c r="B57" s="266" t="s">
        <v>1201</v>
      </c>
      <c r="C57" s="267"/>
      <c r="D57" s="268">
        <f t="shared" si="1"/>
        <v>0</v>
      </c>
      <c r="E57" s="267"/>
      <c r="F57" s="267"/>
      <c r="G57" s="267"/>
      <c r="H57" s="267"/>
      <c r="I57" s="287"/>
      <c r="J57" s="288">
        <f t="shared" si="2"/>
        <v>0</v>
      </c>
      <c r="K57" s="276" t="s">
        <v>1087</v>
      </c>
      <c r="L57" s="33">
        <v>1</v>
      </c>
      <c r="M57" s="157" t="s">
        <v>1200</v>
      </c>
      <c r="N57" s="157"/>
      <c r="O57" s="157" t="s">
        <v>460</v>
      </c>
      <c r="P57" s="163" t="s">
        <v>1202</v>
      </c>
    </row>
    <row r="58" s="93" customFormat="1" ht="20.1" customHeight="1" spans="1:16">
      <c r="A58" s="263" t="s">
        <v>461</v>
      </c>
      <c r="B58" s="264" t="s">
        <v>227</v>
      </c>
      <c r="C58" s="265">
        <f t="shared" ref="C58:I58" si="8">SUM(C59:C68)</f>
        <v>1260</v>
      </c>
      <c r="D58" s="265">
        <f t="shared" si="1"/>
        <v>858</v>
      </c>
      <c r="E58" s="265">
        <f t="shared" si="8"/>
        <v>0</v>
      </c>
      <c r="F58" s="265">
        <f t="shared" si="8"/>
        <v>0</v>
      </c>
      <c r="G58" s="265">
        <f t="shared" si="8"/>
        <v>24</v>
      </c>
      <c r="H58" s="265">
        <f t="shared" si="8"/>
        <v>0</v>
      </c>
      <c r="I58" s="265">
        <f t="shared" si="8"/>
        <v>834</v>
      </c>
      <c r="J58" s="283">
        <f t="shared" si="2"/>
        <v>68.1</v>
      </c>
      <c r="K58" s="284" t="s">
        <v>1082</v>
      </c>
      <c r="L58" s="285"/>
      <c r="M58" s="263" t="s">
        <v>461</v>
      </c>
      <c r="N58" s="263" t="s">
        <v>455</v>
      </c>
      <c r="O58" s="263" t="s">
        <v>461</v>
      </c>
      <c r="P58" s="286" t="s">
        <v>1203</v>
      </c>
    </row>
    <row r="59" s="92" customFormat="1" ht="20.1" customHeight="1" spans="1:16">
      <c r="A59" s="157" t="s">
        <v>1204</v>
      </c>
      <c r="B59" s="269" t="s">
        <v>1086</v>
      </c>
      <c r="C59" s="267">
        <v>365</v>
      </c>
      <c r="D59" s="268">
        <f t="shared" si="1"/>
        <v>533</v>
      </c>
      <c r="E59" s="267"/>
      <c r="F59" s="267"/>
      <c r="G59" s="267"/>
      <c r="H59" s="267"/>
      <c r="I59" s="287">
        <v>533</v>
      </c>
      <c r="J59" s="288">
        <f t="shared" si="2"/>
        <v>146.03</v>
      </c>
      <c r="K59" s="276" t="s">
        <v>1087</v>
      </c>
      <c r="L59" s="33">
        <v>1</v>
      </c>
      <c r="M59" s="157" t="s">
        <v>1204</v>
      </c>
      <c r="N59" s="157"/>
      <c r="O59" s="157" t="s">
        <v>461</v>
      </c>
      <c r="P59" s="164" t="s">
        <v>1088</v>
      </c>
    </row>
    <row r="60" s="92" customFormat="1" ht="20.1" customHeight="1" spans="1:16">
      <c r="A60" s="157" t="s">
        <v>1205</v>
      </c>
      <c r="B60" s="36" t="s">
        <v>1090</v>
      </c>
      <c r="C60" s="267">
        <v>652</v>
      </c>
      <c r="D60" s="268">
        <f t="shared" si="1"/>
        <v>31</v>
      </c>
      <c r="E60" s="267"/>
      <c r="F60" s="267"/>
      <c r="G60" s="267"/>
      <c r="H60" s="267"/>
      <c r="I60" s="287">
        <v>31</v>
      </c>
      <c r="J60" s="288">
        <f t="shared" si="2"/>
        <v>4.75</v>
      </c>
      <c r="K60" s="276" t="s">
        <v>1087</v>
      </c>
      <c r="L60" s="33">
        <v>1</v>
      </c>
      <c r="M60" s="157" t="s">
        <v>1205</v>
      </c>
      <c r="N60" s="157"/>
      <c r="O60" s="157" t="s">
        <v>461</v>
      </c>
      <c r="P60" s="164" t="s">
        <v>1091</v>
      </c>
    </row>
    <row r="61" s="92" customFormat="1" ht="20.1" customHeight="1" spans="1:16">
      <c r="A61" s="157" t="s">
        <v>1206</v>
      </c>
      <c r="B61" s="36" t="s">
        <v>1093</v>
      </c>
      <c r="C61" s="267"/>
      <c r="D61" s="268">
        <f t="shared" si="1"/>
        <v>0</v>
      </c>
      <c r="E61" s="267"/>
      <c r="F61" s="267"/>
      <c r="G61" s="267"/>
      <c r="H61" s="267"/>
      <c r="I61" s="287"/>
      <c r="J61" s="288">
        <f t="shared" si="2"/>
        <v>0</v>
      </c>
      <c r="K61" s="276" t="s">
        <v>1087</v>
      </c>
      <c r="L61" s="33">
        <v>1</v>
      </c>
      <c r="M61" s="157" t="s">
        <v>1206</v>
      </c>
      <c r="N61" s="157"/>
      <c r="O61" s="157" t="s">
        <v>461</v>
      </c>
      <c r="P61" s="164" t="s">
        <v>1094</v>
      </c>
    </row>
    <row r="62" s="92" customFormat="1" ht="20.1" customHeight="1" spans="1:16">
      <c r="A62" s="157" t="s">
        <v>1207</v>
      </c>
      <c r="B62" s="36" t="s">
        <v>1208</v>
      </c>
      <c r="C62" s="267">
        <v>34</v>
      </c>
      <c r="D62" s="268">
        <f t="shared" si="1"/>
        <v>50</v>
      </c>
      <c r="E62" s="267"/>
      <c r="F62" s="267"/>
      <c r="G62" s="267"/>
      <c r="H62" s="267"/>
      <c r="I62" s="287">
        <v>50</v>
      </c>
      <c r="J62" s="288">
        <f t="shared" si="2"/>
        <v>147.06</v>
      </c>
      <c r="K62" s="276" t="s">
        <v>1087</v>
      </c>
      <c r="L62" s="33">
        <v>1</v>
      </c>
      <c r="M62" s="157" t="s">
        <v>1207</v>
      </c>
      <c r="N62" s="157"/>
      <c r="O62" s="157" t="s">
        <v>461</v>
      </c>
      <c r="P62" s="163" t="s">
        <v>1209</v>
      </c>
    </row>
    <row r="63" s="92" customFormat="1" ht="20.1" customHeight="1" spans="1:16">
      <c r="A63" s="157" t="s">
        <v>1210</v>
      </c>
      <c r="B63" s="36" t="s">
        <v>1211</v>
      </c>
      <c r="C63" s="267">
        <v>10</v>
      </c>
      <c r="D63" s="268">
        <f t="shared" si="1"/>
        <v>22</v>
      </c>
      <c r="E63" s="267"/>
      <c r="F63" s="267"/>
      <c r="G63" s="267"/>
      <c r="H63" s="267"/>
      <c r="I63" s="287">
        <v>22</v>
      </c>
      <c r="J63" s="288">
        <f t="shared" si="2"/>
        <v>220</v>
      </c>
      <c r="K63" s="276" t="s">
        <v>1087</v>
      </c>
      <c r="L63" s="33">
        <v>1</v>
      </c>
      <c r="M63" s="157" t="s">
        <v>1210</v>
      </c>
      <c r="N63" s="157"/>
      <c r="O63" s="157" t="s">
        <v>461</v>
      </c>
      <c r="P63" s="163" t="s">
        <v>1212</v>
      </c>
    </row>
    <row r="64" s="92" customFormat="1" ht="20.1" customHeight="1" spans="1:16">
      <c r="A64" s="157" t="s">
        <v>1213</v>
      </c>
      <c r="B64" s="36" t="s">
        <v>1214</v>
      </c>
      <c r="C64" s="267"/>
      <c r="D64" s="268">
        <f t="shared" si="1"/>
        <v>0</v>
      </c>
      <c r="E64" s="267"/>
      <c r="F64" s="267"/>
      <c r="G64" s="267"/>
      <c r="H64" s="267"/>
      <c r="I64" s="287"/>
      <c r="J64" s="288">
        <f t="shared" si="2"/>
        <v>0</v>
      </c>
      <c r="K64" s="276" t="s">
        <v>1087</v>
      </c>
      <c r="L64" s="33">
        <v>1</v>
      </c>
      <c r="M64" s="157" t="s">
        <v>1213</v>
      </c>
      <c r="N64" s="157"/>
      <c r="O64" s="157" t="s">
        <v>461</v>
      </c>
      <c r="P64" s="163" t="s">
        <v>1215</v>
      </c>
    </row>
    <row r="65" s="92" customFormat="1" ht="20.1" customHeight="1" spans="1:16">
      <c r="A65" s="157" t="s">
        <v>1216</v>
      </c>
      <c r="B65" s="266" t="s">
        <v>1217</v>
      </c>
      <c r="C65" s="267">
        <v>63</v>
      </c>
      <c r="D65" s="268">
        <f t="shared" si="1"/>
        <v>146</v>
      </c>
      <c r="E65" s="267"/>
      <c r="F65" s="267"/>
      <c r="G65" s="267">
        <v>24</v>
      </c>
      <c r="H65" s="267"/>
      <c r="I65" s="287">
        <v>122</v>
      </c>
      <c r="J65" s="288">
        <f t="shared" si="2"/>
        <v>231.75</v>
      </c>
      <c r="K65" s="276" t="s">
        <v>1087</v>
      </c>
      <c r="L65" s="33">
        <v>1</v>
      </c>
      <c r="M65" s="157" t="s">
        <v>1216</v>
      </c>
      <c r="N65" s="157"/>
      <c r="O65" s="157" t="s">
        <v>461</v>
      </c>
      <c r="P65" s="164" t="s">
        <v>1218</v>
      </c>
    </row>
    <row r="66" s="92" customFormat="1" ht="20.1" customHeight="1" spans="1:16">
      <c r="A66" s="157" t="s">
        <v>1219</v>
      </c>
      <c r="B66" s="269" t="s">
        <v>1220</v>
      </c>
      <c r="C66" s="267">
        <v>28</v>
      </c>
      <c r="D66" s="268">
        <f t="shared" si="1"/>
        <v>40</v>
      </c>
      <c r="E66" s="267"/>
      <c r="F66" s="267"/>
      <c r="G66" s="267"/>
      <c r="H66" s="267"/>
      <c r="I66" s="287">
        <v>40</v>
      </c>
      <c r="J66" s="288">
        <f t="shared" si="2"/>
        <v>142.86</v>
      </c>
      <c r="K66" s="276" t="s">
        <v>1087</v>
      </c>
      <c r="L66" s="33">
        <v>1</v>
      </c>
      <c r="M66" s="157" t="s">
        <v>1219</v>
      </c>
      <c r="N66" s="157"/>
      <c r="O66" s="157" t="s">
        <v>461</v>
      </c>
      <c r="P66" s="163" t="s">
        <v>1221</v>
      </c>
    </row>
    <row r="67" s="92" customFormat="1" ht="20.1" customHeight="1" spans="1:16">
      <c r="A67" s="157" t="s">
        <v>1222</v>
      </c>
      <c r="B67" s="269" t="s">
        <v>1114</v>
      </c>
      <c r="C67" s="267">
        <v>18</v>
      </c>
      <c r="D67" s="268">
        <f t="shared" si="1"/>
        <v>19</v>
      </c>
      <c r="E67" s="267"/>
      <c r="F67" s="267"/>
      <c r="G67" s="267"/>
      <c r="H67" s="267"/>
      <c r="I67" s="287">
        <v>19</v>
      </c>
      <c r="J67" s="288">
        <f t="shared" si="2"/>
        <v>105.56</v>
      </c>
      <c r="K67" s="276" t="s">
        <v>1087</v>
      </c>
      <c r="L67" s="33">
        <v>1</v>
      </c>
      <c r="M67" s="157" t="s">
        <v>1222</v>
      </c>
      <c r="N67" s="157"/>
      <c r="O67" s="157" t="s">
        <v>461</v>
      </c>
      <c r="P67" s="164" t="s">
        <v>1115</v>
      </c>
    </row>
    <row r="68" s="92" customFormat="1" ht="20.1" customHeight="1" spans="1:16">
      <c r="A68" s="157" t="s">
        <v>1223</v>
      </c>
      <c r="B68" s="269" t="s">
        <v>1224</v>
      </c>
      <c r="C68" s="267">
        <v>90</v>
      </c>
      <c r="D68" s="268">
        <f t="shared" ref="D68:D131" si="9">SUM(E68:I68)</f>
        <v>17</v>
      </c>
      <c r="E68" s="267"/>
      <c r="F68" s="267"/>
      <c r="G68" s="267"/>
      <c r="H68" s="267"/>
      <c r="I68" s="287">
        <v>17</v>
      </c>
      <c r="J68" s="288">
        <f t="shared" ref="J68:J73" si="10">ROUND(IF(C68=0,IF(D68=0,0,1),IF(D68=0,-1,D68/C68)),4)*100</f>
        <v>18.89</v>
      </c>
      <c r="K68" s="276" t="s">
        <v>1087</v>
      </c>
      <c r="L68" s="33">
        <v>1</v>
      </c>
      <c r="M68" s="157" t="s">
        <v>1223</v>
      </c>
      <c r="N68" s="157"/>
      <c r="O68" s="157" t="s">
        <v>461</v>
      </c>
      <c r="P68" s="163" t="s">
        <v>1225</v>
      </c>
    </row>
    <row r="69" s="93" customFormat="1" ht="20.1" customHeight="1" spans="1:16">
      <c r="A69" s="263" t="s">
        <v>462</v>
      </c>
      <c r="B69" s="264" t="s">
        <v>228</v>
      </c>
      <c r="C69" s="265">
        <f t="shared" ref="C69:I69" si="11">SUM(C70:C76)</f>
        <v>668</v>
      </c>
      <c r="D69" s="265">
        <f t="shared" si="9"/>
        <v>417</v>
      </c>
      <c r="E69" s="265">
        <f t="shared" si="11"/>
        <v>0</v>
      </c>
      <c r="F69" s="265">
        <f t="shared" si="11"/>
        <v>0</v>
      </c>
      <c r="G69" s="265">
        <f t="shared" si="11"/>
        <v>0</v>
      </c>
      <c r="H69" s="265">
        <f t="shared" si="11"/>
        <v>0</v>
      </c>
      <c r="I69" s="265">
        <f t="shared" si="11"/>
        <v>417</v>
      </c>
      <c r="J69" s="283">
        <f t="shared" si="10"/>
        <v>62.43</v>
      </c>
      <c r="K69" s="284" t="s">
        <v>1082</v>
      </c>
      <c r="L69" s="285"/>
      <c r="M69" s="263" t="s">
        <v>462</v>
      </c>
      <c r="N69" s="263" t="s">
        <v>455</v>
      </c>
      <c r="O69" s="263" t="s">
        <v>462</v>
      </c>
      <c r="P69" s="286" t="s">
        <v>1226</v>
      </c>
    </row>
    <row r="70" s="92" customFormat="1" ht="20.1" customHeight="1" spans="1:16">
      <c r="A70" s="157" t="s">
        <v>1227</v>
      </c>
      <c r="B70" s="266" t="s">
        <v>1086</v>
      </c>
      <c r="C70" s="267"/>
      <c r="D70" s="268">
        <f t="shared" si="9"/>
        <v>0</v>
      </c>
      <c r="E70" s="267"/>
      <c r="F70" s="267"/>
      <c r="G70" s="267"/>
      <c r="H70" s="267"/>
      <c r="I70" s="287"/>
      <c r="J70" s="288">
        <f t="shared" si="10"/>
        <v>0</v>
      </c>
      <c r="K70" s="276" t="s">
        <v>1087</v>
      </c>
      <c r="L70" s="33">
        <v>1</v>
      </c>
      <c r="M70" s="157" t="s">
        <v>1227</v>
      </c>
      <c r="N70" s="157"/>
      <c r="O70" s="157" t="s">
        <v>462</v>
      </c>
      <c r="P70" s="164" t="s">
        <v>1088</v>
      </c>
    </row>
    <row r="71" s="92" customFormat="1" ht="20.1" customHeight="1" spans="1:16">
      <c r="A71" s="157" t="s">
        <v>1228</v>
      </c>
      <c r="B71" s="266" t="s">
        <v>1090</v>
      </c>
      <c r="C71" s="267">
        <v>668</v>
      </c>
      <c r="D71" s="268">
        <f t="shared" si="9"/>
        <v>417</v>
      </c>
      <c r="E71" s="267"/>
      <c r="F71" s="267"/>
      <c r="G71" s="267"/>
      <c r="H71" s="267"/>
      <c r="I71" s="287">
        <v>417</v>
      </c>
      <c r="J71" s="288">
        <f t="shared" si="10"/>
        <v>62.43</v>
      </c>
      <c r="K71" s="276" t="s">
        <v>1087</v>
      </c>
      <c r="L71" s="33">
        <v>1</v>
      </c>
      <c r="M71" s="157" t="s">
        <v>1228</v>
      </c>
      <c r="N71" s="157"/>
      <c r="O71" s="157" t="s">
        <v>462</v>
      </c>
      <c r="P71" s="164" t="s">
        <v>1091</v>
      </c>
    </row>
    <row r="72" s="92" customFormat="1" ht="20.1" customHeight="1" spans="1:16">
      <c r="A72" s="157" t="s">
        <v>1229</v>
      </c>
      <c r="B72" s="269" t="s">
        <v>1093</v>
      </c>
      <c r="C72" s="267"/>
      <c r="D72" s="268">
        <f t="shared" si="9"/>
        <v>0</v>
      </c>
      <c r="E72" s="267"/>
      <c r="F72" s="267"/>
      <c r="G72" s="267"/>
      <c r="H72" s="267"/>
      <c r="I72" s="287"/>
      <c r="J72" s="288">
        <f t="shared" si="10"/>
        <v>0</v>
      </c>
      <c r="K72" s="276" t="s">
        <v>1087</v>
      </c>
      <c r="L72" s="33">
        <v>1</v>
      </c>
      <c r="M72" s="157" t="s">
        <v>1229</v>
      </c>
      <c r="N72" s="157"/>
      <c r="O72" s="157" t="s">
        <v>462</v>
      </c>
      <c r="P72" s="164" t="s">
        <v>1094</v>
      </c>
    </row>
    <row r="73" s="92" customFormat="1" ht="20.1" customHeight="1" spans="1:16">
      <c r="A73" s="157" t="s">
        <v>1230</v>
      </c>
      <c r="B73" s="266" t="s">
        <v>1217</v>
      </c>
      <c r="C73" s="267"/>
      <c r="D73" s="268">
        <f t="shared" si="9"/>
        <v>0</v>
      </c>
      <c r="E73" s="267"/>
      <c r="F73" s="267"/>
      <c r="G73" s="267"/>
      <c r="H73" s="267"/>
      <c r="I73" s="287"/>
      <c r="J73" s="288">
        <f t="shared" si="10"/>
        <v>0</v>
      </c>
      <c r="K73" s="276" t="s">
        <v>1087</v>
      </c>
      <c r="L73" s="33">
        <v>1</v>
      </c>
      <c r="M73" s="157" t="s">
        <v>1230</v>
      </c>
      <c r="N73" s="157"/>
      <c r="O73" s="157" t="s">
        <v>462</v>
      </c>
      <c r="P73" s="164" t="s">
        <v>1218</v>
      </c>
    </row>
    <row r="74" s="92" customFormat="1" ht="20.1" customHeight="1" spans="1:16">
      <c r="A74" s="157" t="s">
        <v>1231</v>
      </c>
      <c r="B74" s="266" t="s">
        <v>1232</v>
      </c>
      <c r="C74" s="267"/>
      <c r="D74" s="268">
        <f t="shared" si="9"/>
        <v>0</v>
      </c>
      <c r="E74" s="267"/>
      <c r="F74" s="267"/>
      <c r="G74" s="267"/>
      <c r="H74" s="267"/>
      <c r="I74" s="287"/>
      <c r="J74" s="288"/>
      <c r="K74" s="276" t="s">
        <v>1087</v>
      </c>
      <c r="L74" s="33">
        <v>1</v>
      </c>
      <c r="M74" s="157" t="s">
        <v>1231</v>
      </c>
      <c r="N74" s="157"/>
      <c r="O74" s="157" t="s">
        <v>462</v>
      </c>
      <c r="P74" s="164" t="s">
        <v>1233</v>
      </c>
    </row>
    <row r="75" s="92" customFormat="1" ht="20.1" customHeight="1" spans="1:16">
      <c r="A75" s="157" t="s">
        <v>1234</v>
      </c>
      <c r="B75" s="269" t="s">
        <v>1114</v>
      </c>
      <c r="C75" s="267"/>
      <c r="D75" s="268">
        <f t="shared" si="9"/>
        <v>0</v>
      </c>
      <c r="E75" s="267"/>
      <c r="F75" s="267"/>
      <c r="G75" s="267"/>
      <c r="H75" s="267"/>
      <c r="I75" s="287"/>
      <c r="J75" s="288">
        <f t="shared" ref="J75:J138" si="12">ROUND(IF(C75=0,IF(D75=0,0,1),IF(D75=0,-1,D75/C75)),4)*100</f>
        <v>0</v>
      </c>
      <c r="K75" s="276" t="s">
        <v>1087</v>
      </c>
      <c r="L75" s="33">
        <v>1</v>
      </c>
      <c r="M75" s="157" t="s">
        <v>1234</v>
      </c>
      <c r="N75" s="157"/>
      <c r="O75" s="157" t="s">
        <v>462</v>
      </c>
      <c r="P75" s="164" t="s">
        <v>1115</v>
      </c>
    </row>
    <row r="76" s="92" customFormat="1" ht="20.1" customHeight="1" spans="1:16">
      <c r="A76" s="157" t="s">
        <v>1235</v>
      </c>
      <c r="B76" s="269" t="s">
        <v>1236</v>
      </c>
      <c r="C76" s="267"/>
      <c r="D76" s="268">
        <f t="shared" si="9"/>
        <v>0</v>
      </c>
      <c r="E76" s="267"/>
      <c r="F76" s="267"/>
      <c r="G76" s="267"/>
      <c r="H76" s="267"/>
      <c r="I76" s="287"/>
      <c r="J76" s="288">
        <f t="shared" si="12"/>
        <v>0</v>
      </c>
      <c r="K76" s="276" t="s">
        <v>1087</v>
      </c>
      <c r="L76" s="33">
        <v>1</v>
      </c>
      <c r="M76" s="157" t="s">
        <v>1235</v>
      </c>
      <c r="N76" s="157"/>
      <c r="O76" s="157" t="s">
        <v>462</v>
      </c>
      <c r="P76" s="163" t="s">
        <v>1237</v>
      </c>
    </row>
    <row r="77" s="93" customFormat="1" ht="20.1" customHeight="1" spans="1:16">
      <c r="A77" s="263" t="s">
        <v>463</v>
      </c>
      <c r="B77" s="264" t="s">
        <v>229</v>
      </c>
      <c r="C77" s="265">
        <f t="shared" ref="C77:I77" si="13">SUM(C78:C85)</f>
        <v>216</v>
      </c>
      <c r="D77" s="265">
        <f t="shared" si="9"/>
        <v>215</v>
      </c>
      <c r="E77" s="265">
        <f t="shared" si="13"/>
        <v>0</v>
      </c>
      <c r="F77" s="265">
        <f t="shared" si="13"/>
        <v>0</v>
      </c>
      <c r="G77" s="265">
        <f t="shared" si="13"/>
        <v>2</v>
      </c>
      <c r="H77" s="265">
        <f t="shared" si="13"/>
        <v>0</v>
      </c>
      <c r="I77" s="265">
        <f t="shared" si="13"/>
        <v>213</v>
      </c>
      <c r="J77" s="283">
        <f t="shared" si="12"/>
        <v>99.54</v>
      </c>
      <c r="K77" s="284" t="s">
        <v>1082</v>
      </c>
      <c r="L77" s="285"/>
      <c r="M77" s="263" t="s">
        <v>463</v>
      </c>
      <c r="N77" s="263" t="s">
        <v>455</v>
      </c>
      <c r="O77" s="263" t="s">
        <v>463</v>
      </c>
      <c r="P77" s="286" t="s">
        <v>1238</v>
      </c>
    </row>
    <row r="78" s="92" customFormat="1" ht="20.1" customHeight="1" spans="1:16">
      <c r="A78" s="157" t="s">
        <v>1239</v>
      </c>
      <c r="B78" s="266" t="s">
        <v>1086</v>
      </c>
      <c r="C78" s="267">
        <v>197</v>
      </c>
      <c r="D78" s="268">
        <f t="shared" si="9"/>
        <v>209</v>
      </c>
      <c r="E78" s="267"/>
      <c r="F78" s="267"/>
      <c r="G78" s="267"/>
      <c r="H78" s="267"/>
      <c r="I78" s="287">
        <v>209</v>
      </c>
      <c r="J78" s="288">
        <f t="shared" si="12"/>
        <v>106.09</v>
      </c>
      <c r="K78" s="276" t="s">
        <v>1087</v>
      </c>
      <c r="L78" s="33">
        <v>1</v>
      </c>
      <c r="M78" s="157" t="s">
        <v>1239</v>
      </c>
      <c r="N78" s="157"/>
      <c r="O78" s="157" t="s">
        <v>463</v>
      </c>
      <c r="P78" s="164" t="s">
        <v>1088</v>
      </c>
    </row>
    <row r="79" s="92" customFormat="1" ht="20.1" customHeight="1" spans="1:16">
      <c r="A79" s="157" t="s">
        <v>1240</v>
      </c>
      <c r="B79" s="266" t="s">
        <v>1090</v>
      </c>
      <c r="C79" s="267"/>
      <c r="D79" s="268">
        <f t="shared" si="9"/>
        <v>0</v>
      </c>
      <c r="E79" s="267"/>
      <c r="F79" s="267"/>
      <c r="G79" s="267"/>
      <c r="H79" s="267"/>
      <c r="I79" s="287"/>
      <c r="J79" s="288">
        <f t="shared" si="12"/>
        <v>0</v>
      </c>
      <c r="K79" s="276" t="s">
        <v>1087</v>
      </c>
      <c r="L79" s="33">
        <v>1</v>
      </c>
      <c r="M79" s="157" t="s">
        <v>1240</v>
      </c>
      <c r="N79" s="157"/>
      <c r="O79" s="157" t="s">
        <v>463</v>
      </c>
      <c r="P79" s="164" t="s">
        <v>1091</v>
      </c>
    </row>
    <row r="80" s="92" customFormat="1" ht="20.1" customHeight="1" spans="1:16">
      <c r="A80" s="157" t="s">
        <v>1241</v>
      </c>
      <c r="B80" s="266" t="s">
        <v>1093</v>
      </c>
      <c r="C80" s="267"/>
      <c r="D80" s="268">
        <f t="shared" si="9"/>
        <v>0</v>
      </c>
      <c r="E80" s="267"/>
      <c r="F80" s="267"/>
      <c r="G80" s="267"/>
      <c r="H80" s="267"/>
      <c r="I80" s="287"/>
      <c r="J80" s="288">
        <f t="shared" si="12"/>
        <v>0</v>
      </c>
      <c r="K80" s="276" t="s">
        <v>1087</v>
      </c>
      <c r="L80" s="33">
        <v>1</v>
      </c>
      <c r="M80" s="157" t="s">
        <v>1241</v>
      </c>
      <c r="N80" s="157"/>
      <c r="O80" s="157" t="s">
        <v>463</v>
      </c>
      <c r="P80" s="164" t="s">
        <v>1094</v>
      </c>
    </row>
    <row r="81" s="92" customFormat="1" ht="20.1" customHeight="1" spans="1:16">
      <c r="A81" s="157" t="s">
        <v>1242</v>
      </c>
      <c r="B81" s="269" t="s">
        <v>1243</v>
      </c>
      <c r="C81" s="267">
        <v>4</v>
      </c>
      <c r="D81" s="268">
        <f t="shared" si="9"/>
        <v>4</v>
      </c>
      <c r="E81" s="267"/>
      <c r="F81" s="267"/>
      <c r="G81" s="267"/>
      <c r="H81" s="267"/>
      <c r="I81" s="287">
        <v>4</v>
      </c>
      <c r="J81" s="288">
        <f t="shared" si="12"/>
        <v>100</v>
      </c>
      <c r="K81" s="276" t="s">
        <v>1087</v>
      </c>
      <c r="L81" s="33">
        <v>1</v>
      </c>
      <c r="M81" s="157" t="s">
        <v>1242</v>
      </c>
      <c r="N81" s="157"/>
      <c r="O81" s="157" t="s">
        <v>463</v>
      </c>
      <c r="P81" s="163" t="s">
        <v>1244</v>
      </c>
    </row>
    <row r="82" s="92" customFormat="1" ht="20.1" customHeight="1" spans="1:16">
      <c r="A82" s="157" t="s">
        <v>1245</v>
      </c>
      <c r="B82" s="269" t="s">
        <v>1246</v>
      </c>
      <c r="C82" s="267"/>
      <c r="D82" s="268">
        <f t="shared" si="9"/>
        <v>0</v>
      </c>
      <c r="E82" s="267"/>
      <c r="F82" s="267"/>
      <c r="G82" s="267"/>
      <c r="H82" s="267"/>
      <c r="I82" s="287"/>
      <c r="J82" s="288">
        <f t="shared" si="12"/>
        <v>0</v>
      </c>
      <c r="K82" s="276" t="s">
        <v>1087</v>
      </c>
      <c r="L82" s="33">
        <v>1</v>
      </c>
      <c r="M82" s="157" t="s">
        <v>1245</v>
      </c>
      <c r="N82" s="157"/>
      <c r="O82" s="157" t="s">
        <v>463</v>
      </c>
      <c r="P82" s="163" t="s">
        <v>1247</v>
      </c>
    </row>
    <row r="83" s="92" customFormat="1" ht="20.1" customHeight="1" spans="1:16">
      <c r="A83" s="157" t="s">
        <v>1248</v>
      </c>
      <c r="B83" s="269" t="s">
        <v>1217</v>
      </c>
      <c r="C83" s="267"/>
      <c r="D83" s="268">
        <f t="shared" si="9"/>
        <v>0</v>
      </c>
      <c r="E83" s="267"/>
      <c r="F83" s="267"/>
      <c r="G83" s="267"/>
      <c r="H83" s="267"/>
      <c r="I83" s="287"/>
      <c r="J83" s="288">
        <f t="shared" si="12"/>
        <v>0</v>
      </c>
      <c r="K83" s="276" t="s">
        <v>1087</v>
      </c>
      <c r="L83" s="33">
        <v>1</v>
      </c>
      <c r="M83" s="157" t="s">
        <v>1248</v>
      </c>
      <c r="N83" s="157"/>
      <c r="O83" s="157" t="s">
        <v>463</v>
      </c>
      <c r="P83" s="164" t="s">
        <v>1218</v>
      </c>
    </row>
    <row r="84" s="92" customFormat="1" ht="20.1" customHeight="1" spans="1:16">
      <c r="A84" s="157" t="s">
        <v>1249</v>
      </c>
      <c r="B84" s="269" t="s">
        <v>1114</v>
      </c>
      <c r="C84" s="267"/>
      <c r="D84" s="268">
        <f t="shared" si="9"/>
        <v>0</v>
      </c>
      <c r="E84" s="267"/>
      <c r="F84" s="267"/>
      <c r="G84" s="267"/>
      <c r="H84" s="267"/>
      <c r="I84" s="287"/>
      <c r="J84" s="288">
        <f t="shared" si="12"/>
        <v>0</v>
      </c>
      <c r="K84" s="276" t="s">
        <v>1087</v>
      </c>
      <c r="L84" s="33">
        <v>1</v>
      </c>
      <c r="M84" s="157" t="s">
        <v>1249</v>
      </c>
      <c r="N84" s="157"/>
      <c r="O84" s="157" t="s">
        <v>463</v>
      </c>
      <c r="P84" s="164" t="s">
        <v>1115</v>
      </c>
    </row>
    <row r="85" s="92" customFormat="1" ht="20.1" customHeight="1" spans="1:16">
      <c r="A85" s="157" t="s">
        <v>1250</v>
      </c>
      <c r="B85" s="36" t="s">
        <v>1251</v>
      </c>
      <c r="C85" s="267">
        <v>15</v>
      </c>
      <c r="D85" s="268">
        <f t="shared" si="9"/>
        <v>2</v>
      </c>
      <c r="E85" s="267"/>
      <c r="F85" s="267"/>
      <c r="G85" s="267">
        <v>2</v>
      </c>
      <c r="H85" s="267"/>
      <c r="I85" s="287"/>
      <c r="J85" s="288">
        <f t="shared" si="12"/>
        <v>13.33</v>
      </c>
      <c r="K85" s="276" t="s">
        <v>1087</v>
      </c>
      <c r="L85" s="33">
        <v>1</v>
      </c>
      <c r="M85" s="157" t="s">
        <v>1250</v>
      </c>
      <c r="N85" s="157"/>
      <c r="O85" s="157" t="s">
        <v>463</v>
      </c>
      <c r="P85" s="163" t="s">
        <v>1252</v>
      </c>
    </row>
    <row r="86" s="93" customFormat="1" ht="20.1" customHeight="1" spans="1:16">
      <c r="A86" s="263" t="s">
        <v>464</v>
      </c>
      <c r="B86" s="264" t="s">
        <v>230</v>
      </c>
      <c r="C86" s="265">
        <v>0</v>
      </c>
      <c r="D86" s="265">
        <f t="shared" si="9"/>
        <v>0</v>
      </c>
      <c r="E86" s="265">
        <f t="shared" ref="E86:H86" si="14">SUM(E87:E98)</f>
        <v>0</v>
      </c>
      <c r="F86" s="265">
        <f t="shared" si="14"/>
        <v>0</v>
      </c>
      <c r="G86" s="265">
        <f>VLOOKUP(A86,[1]√表四、2024年公共财政支出变动表!$A$7:$R$214,18,FALSE)</f>
        <v>0</v>
      </c>
      <c r="H86" s="265">
        <f t="shared" si="14"/>
        <v>0</v>
      </c>
      <c r="I86" s="265"/>
      <c r="J86" s="283">
        <f t="shared" si="12"/>
        <v>0</v>
      </c>
      <c r="K86" s="284" t="s">
        <v>1082</v>
      </c>
      <c r="L86" s="285"/>
      <c r="M86" s="263" t="s">
        <v>464</v>
      </c>
      <c r="N86" s="263" t="s">
        <v>455</v>
      </c>
      <c r="O86" s="263" t="s">
        <v>464</v>
      </c>
      <c r="P86" s="286" t="s">
        <v>1253</v>
      </c>
    </row>
    <row r="87" s="92" customFormat="1" ht="20.1" customHeight="1" spans="1:16">
      <c r="A87" s="157" t="s">
        <v>1254</v>
      </c>
      <c r="B87" s="266" t="s">
        <v>1086</v>
      </c>
      <c r="C87" s="267">
        <v>0</v>
      </c>
      <c r="D87" s="268">
        <f t="shared" si="9"/>
        <v>0</v>
      </c>
      <c r="E87" s="267"/>
      <c r="F87" s="267"/>
      <c r="G87" s="267"/>
      <c r="H87" s="267"/>
      <c r="I87" s="287"/>
      <c r="J87" s="288">
        <f t="shared" si="12"/>
        <v>0</v>
      </c>
      <c r="K87" s="276" t="s">
        <v>1087</v>
      </c>
      <c r="L87" s="33">
        <v>1</v>
      </c>
      <c r="M87" s="157" t="s">
        <v>1254</v>
      </c>
      <c r="N87" s="157"/>
      <c r="O87" s="157" t="s">
        <v>464</v>
      </c>
      <c r="P87" s="164" t="s">
        <v>1088</v>
      </c>
    </row>
    <row r="88" s="92" customFormat="1" ht="20.1" customHeight="1" spans="1:16">
      <c r="A88" s="157" t="s">
        <v>1255</v>
      </c>
      <c r="B88" s="269" t="s">
        <v>1090</v>
      </c>
      <c r="C88" s="267">
        <v>0</v>
      </c>
      <c r="D88" s="268">
        <f t="shared" si="9"/>
        <v>0</v>
      </c>
      <c r="E88" s="267"/>
      <c r="F88" s="267"/>
      <c r="G88" s="267"/>
      <c r="H88" s="267"/>
      <c r="I88" s="287"/>
      <c r="J88" s="288">
        <f t="shared" si="12"/>
        <v>0</v>
      </c>
      <c r="K88" s="276" t="s">
        <v>1087</v>
      </c>
      <c r="L88" s="33">
        <v>1</v>
      </c>
      <c r="M88" s="157" t="s">
        <v>1255</v>
      </c>
      <c r="N88" s="157"/>
      <c r="O88" s="157" t="s">
        <v>464</v>
      </c>
      <c r="P88" s="164" t="s">
        <v>1091</v>
      </c>
    </row>
    <row r="89" s="92" customFormat="1" ht="20.1" customHeight="1" spans="1:16">
      <c r="A89" s="157" t="s">
        <v>1256</v>
      </c>
      <c r="B89" s="269" t="s">
        <v>1093</v>
      </c>
      <c r="C89" s="267">
        <v>0</v>
      </c>
      <c r="D89" s="268">
        <f t="shared" si="9"/>
        <v>0</v>
      </c>
      <c r="E89" s="267"/>
      <c r="F89" s="267"/>
      <c r="G89" s="267"/>
      <c r="H89" s="267"/>
      <c r="I89" s="287"/>
      <c r="J89" s="288">
        <f t="shared" si="12"/>
        <v>0</v>
      </c>
      <c r="K89" s="276" t="s">
        <v>1087</v>
      </c>
      <c r="L89" s="33">
        <v>1</v>
      </c>
      <c r="M89" s="157" t="s">
        <v>1256</v>
      </c>
      <c r="N89" s="157"/>
      <c r="O89" s="157" t="s">
        <v>464</v>
      </c>
      <c r="P89" s="164" t="s">
        <v>1094</v>
      </c>
    </row>
    <row r="90" s="92" customFormat="1" ht="20.1" customHeight="1" spans="1:16">
      <c r="A90" s="157" t="s">
        <v>1257</v>
      </c>
      <c r="B90" s="266" t="s">
        <v>1258</v>
      </c>
      <c r="C90" s="267">
        <v>0</v>
      </c>
      <c r="D90" s="268">
        <f t="shared" si="9"/>
        <v>0</v>
      </c>
      <c r="E90" s="267"/>
      <c r="F90" s="267"/>
      <c r="G90" s="267"/>
      <c r="H90" s="267"/>
      <c r="I90" s="287"/>
      <c r="J90" s="288">
        <f t="shared" si="12"/>
        <v>0</v>
      </c>
      <c r="K90" s="276" t="s">
        <v>1087</v>
      </c>
      <c r="L90" s="33">
        <v>1</v>
      </c>
      <c r="M90" s="157" t="s">
        <v>1257</v>
      </c>
      <c r="N90" s="157"/>
      <c r="O90" s="157" t="s">
        <v>464</v>
      </c>
      <c r="P90" s="164" t="s">
        <v>1259</v>
      </c>
    </row>
    <row r="91" s="92" customFormat="1" ht="20.1" customHeight="1" spans="1:16">
      <c r="A91" s="157" t="s">
        <v>1260</v>
      </c>
      <c r="B91" s="266" t="s">
        <v>1261</v>
      </c>
      <c r="C91" s="267">
        <v>0</v>
      </c>
      <c r="D91" s="268">
        <f t="shared" si="9"/>
        <v>0</v>
      </c>
      <c r="E91" s="267"/>
      <c r="F91" s="267"/>
      <c r="G91" s="267"/>
      <c r="H91" s="267"/>
      <c r="I91" s="287"/>
      <c r="J91" s="288">
        <f t="shared" si="12"/>
        <v>0</v>
      </c>
      <c r="K91" s="276" t="s">
        <v>1087</v>
      </c>
      <c r="L91" s="33">
        <v>1</v>
      </c>
      <c r="M91" s="157" t="s">
        <v>1260</v>
      </c>
      <c r="N91" s="157"/>
      <c r="O91" s="157" t="s">
        <v>464</v>
      </c>
      <c r="P91" s="164" t="s">
        <v>1262</v>
      </c>
    </row>
    <row r="92" s="92" customFormat="1" ht="20.1" customHeight="1" spans="1:16">
      <c r="A92" s="157" t="s">
        <v>1263</v>
      </c>
      <c r="B92" s="266" t="s">
        <v>1217</v>
      </c>
      <c r="C92" s="267">
        <v>0</v>
      </c>
      <c r="D92" s="268">
        <f t="shared" si="9"/>
        <v>0</v>
      </c>
      <c r="E92" s="267"/>
      <c r="F92" s="267"/>
      <c r="G92" s="267"/>
      <c r="H92" s="267"/>
      <c r="I92" s="287"/>
      <c r="J92" s="288">
        <f t="shared" si="12"/>
        <v>0</v>
      </c>
      <c r="K92" s="276" t="s">
        <v>1087</v>
      </c>
      <c r="L92" s="33">
        <v>1</v>
      </c>
      <c r="M92" s="157" t="s">
        <v>1263</v>
      </c>
      <c r="N92" s="157"/>
      <c r="O92" s="157" t="s">
        <v>464</v>
      </c>
      <c r="P92" s="164" t="s">
        <v>1218</v>
      </c>
    </row>
    <row r="93" s="92" customFormat="1" ht="20.1" customHeight="1" spans="1:16">
      <c r="A93" s="157" t="s">
        <v>1264</v>
      </c>
      <c r="B93" s="266" t="s">
        <v>1265</v>
      </c>
      <c r="C93" s="267">
        <v>0</v>
      </c>
      <c r="D93" s="268">
        <f t="shared" si="9"/>
        <v>0</v>
      </c>
      <c r="E93" s="267"/>
      <c r="F93" s="267"/>
      <c r="G93" s="267"/>
      <c r="H93" s="267"/>
      <c r="I93" s="287"/>
      <c r="J93" s="288">
        <f t="shared" si="12"/>
        <v>0</v>
      </c>
      <c r="K93" s="276" t="s">
        <v>1087</v>
      </c>
      <c r="L93" s="33">
        <v>1</v>
      </c>
      <c r="M93" s="157" t="s">
        <v>1264</v>
      </c>
      <c r="N93" s="157"/>
      <c r="O93" s="157" t="s">
        <v>464</v>
      </c>
      <c r="P93" s="164" t="s">
        <v>1266</v>
      </c>
    </row>
    <row r="94" s="92" customFormat="1" ht="20.1" customHeight="1" spans="1:16">
      <c r="A94" s="157" t="s">
        <v>1267</v>
      </c>
      <c r="B94" s="266" t="s">
        <v>1268</v>
      </c>
      <c r="C94" s="267">
        <v>0</v>
      </c>
      <c r="D94" s="268">
        <f t="shared" si="9"/>
        <v>0</v>
      </c>
      <c r="E94" s="267"/>
      <c r="F94" s="267"/>
      <c r="G94" s="267"/>
      <c r="H94" s="267"/>
      <c r="I94" s="287"/>
      <c r="J94" s="288">
        <f t="shared" si="12"/>
        <v>0</v>
      </c>
      <c r="K94" s="276" t="s">
        <v>1087</v>
      </c>
      <c r="L94" s="33">
        <v>1</v>
      </c>
      <c r="M94" s="157" t="s">
        <v>1267</v>
      </c>
      <c r="N94" s="157"/>
      <c r="O94" s="157" t="s">
        <v>464</v>
      </c>
      <c r="P94" s="164" t="s">
        <v>1269</v>
      </c>
    </row>
    <row r="95" s="92" customFormat="1" ht="20.1" customHeight="1" spans="1:16">
      <c r="A95" s="157" t="s">
        <v>1270</v>
      </c>
      <c r="B95" s="266" t="s">
        <v>1271</v>
      </c>
      <c r="C95" s="267">
        <v>0</v>
      </c>
      <c r="D95" s="268">
        <f t="shared" si="9"/>
        <v>0</v>
      </c>
      <c r="E95" s="267"/>
      <c r="F95" s="267"/>
      <c r="G95" s="267"/>
      <c r="H95" s="267"/>
      <c r="I95" s="287"/>
      <c r="J95" s="288">
        <f t="shared" si="12"/>
        <v>0</v>
      </c>
      <c r="K95" s="276" t="s">
        <v>1087</v>
      </c>
      <c r="L95" s="33">
        <v>1</v>
      </c>
      <c r="M95" s="157" t="s">
        <v>1270</v>
      </c>
      <c r="N95" s="157"/>
      <c r="O95" s="157" t="s">
        <v>464</v>
      </c>
      <c r="P95" s="164" t="s">
        <v>1272</v>
      </c>
    </row>
    <row r="96" s="92" customFormat="1" ht="20.1" customHeight="1" spans="1:16">
      <c r="A96" s="157" t="s">
        <v>1273</v>
      </c>
      <c r="B96" s="266" t="s">
        <v>1274</v>
      </c>
      <c r="C96" s="267">
        <v>0</v>
      </c>
      <c r="D96" s="268">
        <f t="shared" si="9"/>
        <v>0</v>
      </c>
      <c r="E96" s="267"/>
      <c r="F96" s="267"/>
      <c r="G96" s="267"/>
      <c r="H96" s="267"/>
      <c r="I96" s="287"/>
      <c r="J96" s="288">
        <f t="shared" si="12"/>
        <v>0</v>
      </c>
      <c r="K96" s="276" t="s">
        <v>1087</v>
      </c>
      <c r="L96" s="33">
        <v>1</v>
      </c>
      <c r="M96" s="157" t="s">
        <v>1273</v>
      </c>
      <c r="N96" s="157"/>
      <c r="O96" s="157" t="s">
        <v>464</v>
      </c>
      <c r="P96" s="164" t="s">
        <v>1275</v>
      </c>
    </row>
    <row r="97" s="92" customFormat="1" ht="20.1" customHeight="1" spans="1:16">
      <c r="A97" s="157" t="s">
        <v>1276</v>
      </c>
      <c r="B97" s="269" t="s">
        <v>1114</v>
      </c>
      <c r="C97" s="267">
        <v>0</v>
      </c>
      <c r="D97" s="268">
        <f t="shared" si="9"/>
        <v>0</v>
      </c>
      <c r="E97" s="267"/>
      <c r="F97" s="267"/>
      <c r="G97" s="267"/>
      <c r="H97" s="267"/>
      <c r="I97" s="287"/>
      <c r="J97" s="288">
        <f t="shared" si="12"/>
        <v>0</v>
      </c>
      <c r="K97" s="276" t="s">
        <v>1087</v>
      </c>
      <c r="L97" s="33">
        <v>1</v>
      </c>
      <c r="M97" s="157" t="s">
        <v>1276</v>
      </c>
      <c r="N97" s="157"/>
      <c r="O97" s="157" t="s">
        <v>464</v>
      </c>
      <c r="P97" s="164" t="s">
        <v>1115</v>
      </c>
    </row>
    <row r="98" s="92" customFormat="1" ht="20.1" customHeight="1" spans="1:16">
      <c r="A98" s="157" t="s">
        <v>1277</v>
      </c>
      <c r="B98" s="269" t="s">
        <v>1278</v>
      </c>
      <c r="C98" s="267">
        <v>0</v>
      </c>
      <c r="D98" s="268">
        <f t="shared" si="9"/>
        <v>0</v>
      </c>
      <c r="E98" s="267"/>
      <c r="F98" s="267"/>
      <c r="G98" s="267"/>
      <c r="H98" s="267"/>
      <c r="I98" s="287"/>
      <c r="J98" s="288">
        <f t="shared" si="12"/>
        <v>0</v>
      </c>
      <c r="K98" s="276" t="s">
        <v>1087</v>
      </c>
      <c r="L98" s="33">
        <v>1</v>
      </c>
      <c r="M98" s="157" t="s">
        <v>1277</v>
      </c>
      <c r="N98" s="157"/>
      <c r="O98" s="157" t="s">
        <v>464</v>
      </c>
      <c r="P98" s="164" t="s">
        <v>1279</v>
      </c>
    </row>
    <row r="99" s="93" customFormat="1" ht="20.1" customHeight="1" spans="1:16">
      <c r="A99" s="263" t="s">
        <v>466</v>
      </c>
      <c r="B99" s="264" t="s">
        <v>232</v>
      </c>
      <c r="C99" s="265">
        <f t="shared" ref="C99:I99" si="15">SUM(C100:C107)</f>
        <v>1513</v>
      </c>
      <c r="D99" s="265">
        <f t="shared" si="9"/>
        <v>1505</v>
      </c>
      <c r="E99" s="265">
        <f t="shared" si="15"/>
        <v>0</v>
      </c>
      <c r="F99" s="265">
        <f t="shared" si="15"/>
        <v>0</v>
      </c>
      <c r="G99" s="265">
        <f t="shared" si="15"/>
        <v>9</v>
      </c>
      <c r="H99" s="265">
        <f t="shared" si="15"/>
        <v>0</v>
      </c>
      <c r="I99" s="265">
        <f t="shared" si="15"/>
        <v>1496</v>
      </c>
      <c r="J99" s="283">
        <f t="shared" si="12"/>
        <v>99.47</v>
      </c>
      <c r="K99" s="284" t="s">
        <v>1082</v>
      </c>
      <c r="L99" s="285"/>
      <c r="M99" s="263" t="s">
        <v>466</v>
      </c>
      <c r="N99" s="263" t="s">
        <v>455</v>
      </c>
      <c r="O99" s="263" t="s">
        <v>466</v>
      </c>
      <c r="P99" s="286" t="s">
        <v>1280</v>
      </c>
    </row>
    <row r="100" s="92" customFormat="1" ht="20.1" customHeight="1" spans="1:16">
      <c r="A100" s="157" t="s">
        <v>1281</v>
      </c>
      <c r="B100" s="266" t="s">
        <v>1086</v>
      </c>
      <c r="C100" s="267">
        <v>1112</v>
      </c>
      <c r="D100" s="268">
        <f t="shared" si="9"/>
        <v>1168</v>
      </c>
      <c r="E100" s="267"/>
      <c r="F100" s="267"/>
      <c r="G100" s="267"/>
      <c r="H100" s="267"/>
      <c r="I100" s="287">
        <v>1168</v>
      </c>
      <c r="J100" s="288">
        <f t="shared" si="12"/>
        <v>105.04</v>
      </c>
      <c r="K100" s="276" t="s">
        <v>1087</v>
      </c>
      <c r="L100" s="33">
        <v>1</v>
      </c>
      <c r="M100" s="157" t="s">
        <v>1281</v>
      </c>
      <c r="N100" s="157"/>
      <c r="O100" s="157" t="s">
        <v>466</v>
      </c>
      <c r="P100" s="164" t="s">
        <v>1088</v>
      </c>
    </row>
    <row r="101" s="92" customFormat="1" ht="20.1" customHeight="1" spans="1:16">
      <c r="A101" s="157" t="s">
        <v>1282</v>
      </c>
      <c r="B101" s="266" t="s">
        <v>1090</v>
      </c>
      <c r="C101" s="267"/>
      <c r="D101" s="268">
        <f t="shared" si="9"/>
        <v>0</v>
      </c>
      <c r="E101" s="267"/>
      <c r="F101" s="267"/>
      <c r="G101" s="267"/>
      <c r="H101" s="267"/>
      <c r="I101" s="287"/>
      <c r="J101" s="288">
        <f t="shared" si="12"/>
        <v>0</v>
      </c>
      <c r="K101" s="276" t="s">
        <v>1087</v>
      </c>
      <c r="L101" s="33">
        <v>1</v>
      </c>
      <c r="M101" s="157" t="s">
        <v>1282</v>
      </c>
      <c r="N101" s="157"/>
      <c r="O101" s="157" t="s">
        <v>466</v>
      </c>
      <c r="P101" s="164" t="s">
        <v>1091</v>
      </c>
    </row>
    <row r="102" s="92" customFormat="1" ht="20.1" customHeight="1" spans="1:16">
      <c r="A102" s="157" t="s">
        <v>1283</v>
      </c>
      <c r="B102" s="266" t="s">
        <v>1093</v>
      </c>
      <c r="C102" s="267"/>
      <c r="D102" s="268">
        <f t="shared" si="9"/>
        <v>0</v>
      </c>
      <c r="E102" s="267"/>
      <c r="F102" s="267"/>
      <c r="G102" s="267"/>
      <c r="H102" s="267"/>
      <c r="I102" s="287"/>
      <c r="J102" s="288">
        <f t="shared" si="12"/>
        <v>0</v>
      </c>
      <c r="K102" s="276" t="s">
        <v>1087</v>
      </c>
      <c r="L102" s="33">
        <v>1</v>
      </c>
      <c r="M102" s="157" t="s">
        <v>1283</v>
      </c>
      <c r="N102" s="157"/>
      <c r="O102" s="157" t="s">
        <v>466</v>
      </c>
      <c r="P102" s="164" t="s">
        <v>1094</v>
      </c>
    </row>
    <row r="103" s="92" customFormat="1" ht="20.1" customHeight="1" spans="1:16">
      <c r="A103" s="157" t="s">
        <v>1284</v>
      </c>
      <c r="B103" s="269" t="s">
        <v>1285</v>
      </c>
      <c r="C103" s="267"/>
      <c r="D103" s="268">
        <f t="shared" si="9"/>
        <v>0</v>
      </c>
      <c r="E103" s="267"/>
      <c r="F103" s="267"/>
      <c r="G103" s="267"/>
      <c r="H103" s="267"/>
      <c r="I103" s="287"/>
      <c r="J103" s="288">
        <f t="shared" si="12"/>
        <v>0</v>
      </c>
      <c r="K103" s="276" t="s">
        <v>1087</v>
      </c>
      <c r="L103" s="33">
        <v>1</v>
      </c>
      <c r="M103" s="157" t="s">
        <v>1284</v>
      </c>
      <c r="N103" s="157"/>
      <c r="O103" s="157" t="s">
        <v>466</v>
      </c>
      <c r="P103" s="163" t="s">
        <v>1286</v>
      </c>
    </row>
    <row r="104" s="92" customFormat="1" ht="20.1" customHeight="1" spans="1:16">
      <c r="A104" s="157" t="s">
        <v>1287</v>
      </c>
      <c r="B104" s="269" t="s">
        <v>1288</v>
      </c>
      <c r="C104" s="267"/>
      <c r="D104" s="268">
        <f t="shared" si="9"/>
        <v>0</v>
      </c>
      <c r="E104" s="267"/>
      <c r="F104" s="267"/>
      <c r="G104" s="267"/>
      <c r="H104" s="267"/>
      <c r="I104" s="287"/>
      <c r="J104" s="288">
        <f t="shared" si="12"/>
        <v>0</v>
      </c>
      <c r="K104" s="276" t="s">
        <v>1087</v>
      </c>
      <c r="L104" s="33">
        <v>1</v>
      </c>
      <c r="M104" s="157" t="s">
        <v>1287</v>
      </c>
      <c r="N104" s="157"/>
      <c r="O104" s="157" t="s">
        <v>466</v>
      </c>
      <c r="P104" s="163" t="s">
        <v>1289</v>
      </c>
    </row>
    <row r="105" s="92" customFormat="1" ht="20.1" customHeight="1" spans="1:16">
      <c r="A105" s="157" t="s">
        <v>1290</v>
      </c>
      <c r="B105" s="269" t="s">
        <v>1291</v>
      </c>
      <c r="C105" s="267"/>
      <c r="D105" s="268">
        <f t="shared" si="9"/>
        <v>0</v>
      </c>
      <c r="E105" s="267"/>
      <c r="F105" s="267"/>
      <c r="G105" s="267"/>
      <c r="H105" s="267"/>
      <c r="I105" s="287"/>
      <c r="J105" s="288">
        <f t="shared" si="12"/>
        <v>0</v>
      </c>
      <c r="K105" s="276" t="s">
        <v>1087</v>
      </c>
      <c r="L105" s="33">
        <v>1</v>
      </c>
      <c r="M105" s="157" t="s">
        <v>1290</v>
      </c>
      <c r="N105" s="157"/>
      <c r="O105" s="157" t="s">
        <v>466</v>
      </c>
      <c r="P105" s="163" t="s">
        <v>1292</v>
      </c>
    </row>
    <row r="106" s="92" customFormat="1" ht="20.1" customHeight="1" spans="1:16">
      <c r="A106" s="157" t="s">
        <v>1293</v>
      </c>
      <c r="B106" s="266" t="s">
        <v>1114</v>
      </c>
      <c r="C106" s="267"/>
      <c r="D106" s="268">
        <f t="shared" si="9"/>
        <v>0</v>
      </c>
      <c r="E106" s="267"/>
      <c r="F106" s="267"/>
      <c r="G106" s="267"/>
      <c r="H106" s="267"/>
      <c r="I106" s="287"/>
      <c r="J106" s="288">
        <f t="shared" si="12"/>
        <v>0</v>
      </c>
      <c r="K106" s="276" t="s">
        <v>1087</v>
      </c>
      <c r="L106" s="33">
        <v>1</v>
      </c>
      <c r="M106" s="157" t="s">
        <v>1293</v>
      </c>
      <c r="N106" s="157"/>
      <c r="O106" s="157" t="s">
        <v>466</v>
      </c>
      <c r="P106" s="164" t="s">
        <v>1115</v>
      </c>
    </row>
    <row r="107" s="92" customFormat="1" ht="20.1" customHeight="1" spans="1:16">
      <c r="A107" s="157" t="s">
        <v>1294</v>
      </c>
      <c r="B107" s="266" t="s">
        <v>1295</v>
      </c>
      <c r="C107" s="267">
        <v>401</v>
      </c>
      <c r="D107" s="268">
        <f t="shared" si="9"/>
        <v>337</v>
      </c>
      <c r="E107" s="267"/>
      <c r="F107" s="267"/>
      <c r="G107" s="267">
        <v>9</v>
      </c>
      <c r="H107" s="267"/>
      <c r="I107" s="287">
        <v>328</v>
      </c>
      <c r="J107" s="288">
        <f t="shared" si="12"/>
        <v>84.04</v>
      </c>
      <c r="K107" s="276" t="s">
        <v>1087</v>
      </c>
      <c r="L107" s="33">
        <v>1</v>
      </c>
      <c r="M107" s="157" t="s">
        <v>1294</v>
      </c>
      <c r="N107" s="157"/>
      <c r="O107" s="157" t="s">
        <v>466</v>
      </c>
      <c r="P107" s="163" t="s">
        <v>1296</v>
      </c>
    </row>
    <row r="108" s="93" customFormat="1" ht="20.1" customHeight="1" spans="1:16">
      <c r="A108" s="263" t="s">
        <v>467</v>
      </c>
      <c r="B108" s="264" t="s">
        <v>233</v>
      </c>
      <c r="C108" s="265">
        <f t="shared" ref="C108:I108" si="16">SUM(C109:C118)</f>
        <v>117</v>
      </c>
      <c r="D108" s="265">
        <f t="shared" si="9"/>
        <v>127</v>
      </c>
      <c r="E108" s="265">
        <f t="shared" si="16"/>
        <v>0</v>
      </c>
      <c r="F108" s="265">
        <f t="shared" si="16"/>
        <v>0</v>
      </c>
      <c r="G108" s="265">
        <f t="shared" si="16"/>
        <v>0</v>
      </c>
      <c r="H108" s="265">
        <f t="shared" si="16"/>
        <v>0</v>
      </c>
      <c r="I108" s="265">
        <f t="shared" si="16"/>
        <v>127</v>
      </c>
      <c r="J108" s="283">
        <f t="shared" si="12"/>
        <v>108.55</v>
      </c>
      <c r="K108" s="284" t="s">
        <v>1082</v>
      </c>
      <c r="L108" s="285"/>
      <c r="M108" s="263" t="s">
        <v>467</v>
      </c>
      <c r="N108" s="263" t="s">
        <v>455</v>
      </c>
      <c r="O108" s="263" t="s">
        <v>467</v>
      </c>
      <c r="P108" s="286" t="s">
        <v>1297</v>
      </c>
    </row>
    <row r="109" s="92" customFormat="1" ht="20.1" customHeight="1" spans="1:16">
      <c r="A109" s="157" t="s">
        <v>1298</v>
      </c>
      <c r="B109" s="266" t="s">
        <v>1086</v>
      </c>
      <c r="C109" s="267"/>
      <c r="D109" s="268">
        <f t="shared" si="9"/>
        <v>107</v>
      </c>
      <c r="E109" s="267"/>
      <c r="F109" s="267"/>
      <c r="G109" s="267"/>
      <c r="H109" s="267"/>
      <c r="I109" s="287">
        <v>107</v>
      </c>
      <c r="J109" s="288">
        <f t="shared" si="12"/>
        <v>100</v>
      </c>
      <c r="K109" s="276" t="s">
        <v>1087</v>
      </c>
      <c r="L109" s="33">
        <v>1</v>
      </c>
      <c r="M109" s="157" t="s">
        <v>1298</v>
      </c>
      <c r="N109" s="157"/>
      <c r="O109" s="157" t="s">
        <v>467</v>
      </c>
      <c r="P109" s="164" t="s">
        <v>1088</v>
      </c>
    </row>
    <row r="110" s="92" customFormat="1" ht="20.1" customHeight="1" spans="1:16">
      <c r="A110" s="157" t="s">
        <v>1299</v>
      </c>
      <c r="B110" s="266" t="s">
        <v>1090</v>
      </c>
      <c r="C110" s="267"/>
      <c r="D110" s="268">
        <f t="shared" si="9"/>
        <v>0</v>
      </c>
      <c r="E110" s="267"/>
      <c r="F110" s="267"/>
      <c r="G110" s="267"/>
      <c r="H110" s="267"/>
      <c r="I110" s="287"/>
      <c r="J110" s="288">
        <f t="shared" si="12"/>
        <v>0</v>
      </c>
      <c r="K110" s="276" t="s">
        <v>1087</v>
      </c>
      <c r="L110" s="33">
        <v>1</v>
      </c>
      <c r="M110" s="157" t="s">
        <v>1299</v>
      </c>
      <c r="N110" s="157"/>
      <c r="O110" s="157" t="s">
        <v>467</v>
      </c>
      <c r="P110" s="164" t="s">
        <v>1091</v>
      </c>
    </row>
    <row r="111" s="92" customFormat="1" ht="20.1" customHeight="1" spans="1:16">
      <c r="A111" s="157" t="s">
        <v>1300</v>
      </c>
      <c r="B111" s="266" t="s">
        <v>1093</v>
      </c>
      <c r="C111" s="267"/>
      <c r="D111" s="268">
        <f t="shared" si="9"/>
        <v>0</v>
      </c>
      <c r="E111" s="267"/>
      <c r="F111" s="267"/>
      <c r="G111" s="267"/>
      <c r="H111" s="267"/>
      <c r="I111" s="287"/>
      <c r="J111" s="288">
        <f t="shared" si="12"/>
        <v>0</v>
      </c>
      <c r="K111" s="276" t="s">
        <v>1087</v>
      </c>
      <c r="L111" s="33">
        <v>1</v>
      </c>
      <c r="M111" s="157" t="s">
        <v>1300</v>
      </c>
      <c r="N111" s="157"/>
      <c r="O111" s="157" t="s">
        <v>467</v>
      </c>
      <c r="P111" s="164" t="s">
        <v>1094</v>
      </c>
    </row>
    <row r="112" s="92" customFormat="1" ht="20.1" customHeight="1" spans="1:16">
      <c r="A112" s="157" t="s">
        <v>1301</v>
      </c>
      <c r="B112" s="269" t="s">
        <v>1302</v>
      </c>
      <c r="C112" s="267"/>
      <c r="D112" s="268">
        <f t="shared" si="9"/>
        <v>0</v>
      </c>
      <c r="E112" s="267"/>
      <c r="F112" s="267"/>
      <c r="G112" s="267"/>
      <c r="H112" s="267"/>
      <c r="I112" s="287"/>
      <c r="J112" s="288">
        <f t="shared" si="12"/>
        <v>0</v>
      </c>
      <c r="K112" s="276" t="s">
        <v>1087</v>
      </c>
      <c r="L112" s="33">
        <v>1</v>
      </c>
      <c r="M112" s="157" t="s">
        <v>1301</v>
      </c>
      <c r="N112" s="157"/>
      <c r="O112" s="157" t="s">
        <v>467</v>
      </c>
      <c r="P112" s="163" t="s">
        <v>1303</v>
      </c>
    </row>
    <row r="113" s="92" customFormat="1" ht="20.1" customHeight="1" spans="1:16">
      <c r="A113" s="157" t="s">
        <v>1304</v>
      </c>
      <c r="B113" s="269" t="s">
        <v>1305</v>
      </c>
      <c r="C113" s="267"/>
      <c r="D113" s="268">
        <f t="shared" si="9"/>
        <v>0</v>
      </c>
      <c r="E113" s="267"/>
      <c r="F113" s="267"/>
      <c r="G113" s="267"/>
      <c r="H113" s="267"/>
      <c r="I113" s="287"/>
      <c r="J113" s="288">
        <f t="shared" si="12"/>
        <v>0</v>
      </c>
      <c r="K113" s="276" t="s">
        <v>1087</v>
      </c>
      <c r="L113" s="33">
        <v>1</v>
      </c>
      <c r="M113" s="157" t="s">
        <v>1304</v>
      </c>
      <c r="N113" s="157"/>
      <c r="O113" s="157" t="s">
        <v>467</v>
      </c>
      <c r="P113" s="163" t="s">
        <v>1306</v>
      </c>
    </row>
    <row r="114" s="92" customFormat="1" ht="20.1" customHeight="1" spans="1:16">
      <c r="A114" s="157" t="s">
        <v>1307</v>
      </c>
      <c r="B114" s="269" t="s">
        <v>1308</v>
      </c>
      <c r="C114" s="267"/>
      <c r="D114" s="268">
        <f t="shared" si="9"/>
        <v>0</v>
      </c>
      <c r="E114" s="267"/>
      <c r="F114" s="267"/>
      <c r="G114" s="267"/>
      <c r="H114" s="267"/>
      <c r="I114" s="287"/>
      <c r="J114" s="288">
        <f t="shared" si="12"/>
        <v>0</v>
      </c>
      <c r="K114" s="276" t="s">
        <v>1087</v>
      </c>
      <c r="L114" s="33">
        <v>1</v>
      </c>
      <c r="M114" s="157" t="s">
        <v>1307</v>
      </c>
      <c r="N114" s="157"/>
      <c r="O114" s="157" t="s">
        <v>467</v>
      </c>
      <c r="P114" s="163" t="s">
        <v>1309</v>
      </c>
    </row>
    <row r="115" s="92" customFormat="1" ht="20.1" customHeight="1" spans="1:16">
      <c r="A115" s="157" t="s">
        <v>1310</v>
      </c>
      <c r="B115" s="266" t="s">
        <v>1311</v>
      </c>
      <c r="C115" s="267"/>
      <c r="D115" s="268">
        <f t="shared" si="9"/>
        <v>0</v>
      </c>
      <c r="E115" s="267"/>
      <c r="F115" s="267"/>
      <c r="G115" s="267"/>
      <c r="H115" s="267"/>
      <c r="I115" s="287"/>
      <c r="J115" s="288">
        <f t="shared" si="12"/>
        <v>0</v>
      </c>
      <c r="K115" s="276" t="s">
        <v>1087</v>
      </c>
      <c r="L115" s="33">
        <v>1</v>
      </c>
      <c r="M115" s="157" t="s">
        <v>1310</v>
      </c>
      <c r="N115" s="157"/>
      <c r="O115" s="157" t="s">
        <v>467</v>
      </c>
      <c r="P115" s="163" t="s">
        <v>1312</v>
      </c>
    </row>
    <row r="116" s="92" customFormat="1" ht="20.1" customHeight="1" spans="1:16">
      <c r="A116" s="157" t="s">
        <v>1313</v>
      </c>
      <c r="B116" s="266" t="s">
        <v>1314</v>
      </c>
      <c r="C116" s="267">
        <v>117</v>
      </c>
      <c r="D116" s="268">
        <f t="shared" si="9"/>
        <v>20</v>
      </c>
      <c r="E116" s="267"/>
      <c r="F116" s="267"/>
      <c r="G116" s="267"/>
      <c r="H116" s="267"/>
      <c r="I116" s="287">
        <v>20</v>
      </c>
      <c r="J116" s="288">
        <f t="shared" si="12"/>
        <v>17.09</v>
      </c>
      <c r="K116" s="276" t="s">
        <v>1087</v>
      </c>
      <c r="L116" s="33">
        <v>1</v>
      </c>
      <c r="M116" s="157" t="s">
        <v>1313</v>
      </c>
      <c r="N116" s="157"/>
      <c r="O116" s="157" t="s">
        <v>467</v>
      </c>
      <c r="P116" s="163" t="s">
        <v>1315</v>
      </c>
    </row>
    <row r="117" s="92" customFormat="1" ht="20.1" customHeight="1" spans="1:16">
      <c r="A117" s="157" t="s">
        <v>1316</v>
      </c>
      <c r="B117" s="266" t="s">
        <v>1114</v>
      </c>
      <c r="C117" s="267"/>
      <c r="D117" s="268">
        <f t="shared" si="9"/>
        <v>0</v>
      </c>
      <c r="E117" s="267"/>
      <c r="F117" s="267"/>
      <c r="G117" s="267"/>
      <c r="H117" s="267"/>
      <c r="I117" s="287"/>
      <c r="J117" s="288">
        <f t="shared" si="12"/>
        <v>0</v>
      </c>
      <c r="K117" s="276" t="s">
        <v>1087</v>
      </c>
      <c r="L117" s="33">
        <v>1</v>
      </c>
      <c r="M117" s="157" t="s">
        <v>1316</v>
      </c>
      <c r="N117" s="157"/>
      <c r="O117" s="157" t="s">
        <v>467</v>
      </c>
      <c r="P117" s="164" t="s">
        <v>1115</v>
      </c>
    </row>
    <row r="118" s="92" customFormat="1" ht="20.1" customHeight="1" spans="1:16">
      <c r="A118" s="157" t="s">
        <v>1317</v>
      </c>
      <c r="B118" s="269" t="s">
        <v>1318</v>
      </c>
      <c r="C118" s="267"/>
      <c r="D118" s="268">
        <f t="shared" si="9"/>
        <v>0</v>
      </c>
      <c r="E118" s="267"/>
      <c r="F118" s="267"/>
      <c r="G118" s="267"/>
      <c r="H118" s="267"/>
      <c r="I118" s="287"/>
      <c r="J118" s="288">
        <f t="shared" si="12"/>
        <v>0</v>
      </c>
      <c r="K118" s="276" t="s">
        <v>1087</v>
      </c>
      <c r="L118" s="33">
        <v>1</v>
      </c>
      <c r="M118" s="157" t="s">
        <v>1317</v>
      </c>
      <c r="N118" s="157"/>
      <c r="O118" s="157" t="s">
        <v>467</v>
      </c>
      <c r="P118" s="163" t="s">
        <v>1319</v>
      </c>
    </row>
    <row r="119" s="93" customFormat="1" ht="20.1" customHeight="1" spans="1:16">
      <c r="A119" s="263" t="s">
        <v>468</v>
      </c>
      <c r="B119" s="264" t="s">
        <v>234</v>
      </c>
      <c r="C119" s="265">
        <f t="shared" ref="C119:F119" si="17">SUM(C120:C130)</f>
        <v>0</v>
      </c>
      <c r="D119" s="265">
        <f t="shared" si="9"/>
        <v>0</v>
      </c>
      <c r="E119" s="265">
        <f t="shared" si="17"/>
        <v>0</v>
      </c>
      <c r="F119" s="265">
        <f t="shared" si="17"/>
        <v>0</v>
      </c>
      <c r="G119" s="265">
        <f>VLOOKUP(A119,[1]√表四、2024年公共财政支出变动表!$A$7:$R$214,18,FALSE)</f>
        <v>0</v>
      </c>
      <c r="H119" s="265">
        <f>SUM(H120:H130)</f>
        <v>0</v>
      </c>
      <c r="I119" s="265"/>
      <c r="J119" s="283">
        <f t="shared" si="12"/>
        <v>0</v>
      </c>
      <c r="K119" s="284" t="s">
        <v>1082</v>
      </c>
      <c r="L119" s="285"/>
      <c r="M119" s="263" t="s">
        <v>468</v>
      </c>
      <c r="N119" s="263" t="s">
        <v>455</v>
      </c>
      <c r="O119" s="263" t="s">
        <v>468</v>
      </c>
      <c r="P119" s="286" t="s">
        <v>1320</v>
      </c>
    </row>
    <row r="120" s="92" customFormat="1" ht="20.1" customHeight="1" spans="1:16">
      <c r="A120" s="157" t="s">
        <v>1321</v>
      </c>
      <c r="B120" s="269" t="s">
        <v>1086</v>
      </c>
      <c r="C120" s="267">
        <v>0</v>
      </c>
      <c r="D120" s="268">
        <f t="shared" si="9"/>
        <v>0</v>
      </c>
      <c r="E120" s="267"/>
      <c r="F120" s="267"/>
      <c r="G120" s="267"/>
      <c r="H120" s="267"/>
      <c r="I120" s="287"/>
      <c r="J120" s="288">
        <f t="shared" si="12"/>
        <v>0</v>
      </c>
      <c r="K120" s="276" t="s">
        <v>1087</v>
      </c>
      <c r="L120" s="33">
        <v>1</v>
      </c>
      <c r="M120" s="157" t="s">
        <v>1321</v>
      </c>
      <c r="N120" s="157"/>
      <c r="O120" s="157" t="s">
        <v>468</v>
      </c>
      <c r="P120" s="164" t="s">
        <v>1088</v>
      </c>
    </row>
    <row r="121" s="92" customFormat="1" ht="20.1" customHeight="1" spans="1:16">
      <c r="A121" s="157" t="s">
        <v>1322</v>
      </c>
      <c r="B121" s="36" t="s">
        <v>1090</v>
      </c>
      <c r="C121" s="267">
        <v>0</v>
      </c>
      <c r="D121" s="268">
        <f t="shared" si="9"/>
        <v>0</v>
      </c>
      <c r="E121" s="267"/>
      <c r="F121" s="267"/>
      <c r="G121" s="267"/>
      <c r="H121" s="267"/>
      <c r="I121" s="287"/>
      <c r="J121" s="288">
        <f t="shared" si="12"/>
        <v>0</v>
      </c>
      <c r="K121" s="276" t="s">
        <v>1087</v>
      </c>
      <c r="L121" s="33">
        <v>1</v>
      </c>
      <c r="M121" s="157" t="s">
        <v>1322</v>
      </c>
      <c r="N121" s="157"/>
      <c r="O121" s="157" t="s">
        <v>468</v>
      </c>
      <c r="P121" s="164" t="s">
        <v>1091</v>
      </c>
    </row>
    <row r="122" s="92" customFormat="1" ht="20.1" customHeight="1" spans="1:16">
      <c r="A122" s="157" t="s">
        <v>1323</v>
      </c>
      <c r="B122" s="266" t="s">
        <v>1093</v>
      </c>
      <c r="C122" s="267">
        <v>0</v>
      </c>
      <c r="D122" s="268">
        <f t="shared" si="9"/>
        <v>0</v>
      </c>
      <c r="E122" s="267"/>
      <c r="F122" s="267"/>
      <c r="G122" s="267"/>
      <c r="H122" s="267"/>
      <c r="I122" s="287"/>
      <c r="J122" s="288">
        <f t="shared" si="12"/>
        <v>0</v>
      </c>
      <c r="K122" s="276" t="s">
        <v>1087</v>
      </c>
      <c r="L122" s="33">
        <v>1</v>
      </c>
      <c r="M122" s="157" t="s">
        <v>1323</v>
      </c>
      <c r="N122" s="157"/>
      <c r="O122" s="157" t="s">
        <v>468</v>
      </c>
      <c r="P122" s="164" t="s">
        <v>1094</v>
      </c>
    </row>
    <row r="123" s="92" customFormat="1" ht="20.1" customHeight="1" spans="1:16">
      <c r="A123" s="157" t="s">
        <v>1324</v>
      </c>
      <c r="B123" s="266" t="s">
        <v>1325</v>
      </c>
      <c r="C123" s="267">
        <v>0</v>
      </c>
      <c r="D123" s="268">
        <f t="shared" si="9"/>
        <v>0</v>
      </c>
      <c r="E123" s="267"/>
      <c r="F123" s="267"/>
      <c r="G123" s="267"/>
      <c r="H123" s="267"/>
      <c r="I123" s="287"/>
      <c r="J123" s="288">
        <f t="shared" si="12"/>
        <v>0</v>
      </c>
      <c r="K123" s="276" t="s">
        <v>1087</v>
      </c>
      <c r="L123" s="33">
        <v>1</v>
      </c>
      <c r="M123" s="157" t="s">
        <v>1324</v>
      </c>
      <c r="N123" s="157"/>
      <c r="O123" s="157" t="s">
        <v>468</v>
      </c>
      <c r="P123" s="163" t="s">
        <v>1326</v>
      </c>
    </row>
    <row r="124" s="92" customFormat="1" ht="20.1" customHeight="1" spans="1:16">
      <c r="A124" s="157" t="s">
        <v>1327</v>
      </c>
      <c r="B124" s="266" t="s">
        <v>1328</v>
      </c>
      <c r="C124" s="267">
        <v>0</v>
      </c>
      <c r="D124" s="268">
        <f t="shared" si="9"/>
        <v>0</v>
      </c>
      <c r="E124" s="267"/>
      <c r="F124" s="267"/>
      <c r="G124" s="267"/>
      <c r="H124" s="267"/>
      <c r="I124" s="287"/>
      <c r="J124" s="288">
        <f t="shared" si="12"/>
        <v>0</v>
      </c>
      <c r="K124" s="276" t="s">
        <v>1087</v>
      </c>
      <c r="L124" s="33">
        <v>1</v>
      </c>
      <c r="M124" s="157" t="s">
        <v>1327</v>
      </c>
      <c r="N124" s="157"/>
      <c r="O124" s="157" t="s">
        <v>468</v>
      </c>
      <c r="P124" s="289" t="s">
        <v>1329</v>
      </c>
    </row>
    <row r="125" s="92" customFormat="1" ht="20.1" customHeight="1" spans="1:16">
      <c r="A125" s="157" t="s">
        <v>1330</v>
      </c>
      <c r="B125" s="269" t="s">
        <v>1331</v>
      </c>
      <c r="C125" s="267">
        <v>0</v>
      </c>
      <c r="D125" s="268">
        <f t="shared" si="9"/>
        <v>0</v>
      </c>
      <c r="E125" s="267"/>
      <c r="F125" s="267"/>
      <c r="G125" s="267"/>
      <c r="H125" s="267"/>
      <c r="I125" s="287"/>
      <c r="J125" s="288">
        <f t="shared" si="12"/>
        <v>0</v>
      </c>
      <c r="K125" s="276" t="s">
        <v>1087</v>
      </c>
      <c r="L125" s="33">
        <v>1</v>
      </c>
      <c r="M125" s="157" t="s">
        <v>1330</v>
      </c>
      <c r="N125" s="157"/>
      <c r="O125" s="157" t="s">
        <v>468</v>
      </c>
      <c r="P125" s="290" t="s">
        <v>1332</v>
      </c>
    </row>
    <row r="126" s="92" customFormat="1" ht="20.1" customHeight="1" spans="1:16">
      <c r="A126" s="157" t="s">
        <v>1333</v>
      </c>
      <c r="B126" s="266" t="s">
        <v>1334</v>
      </c>
      <c r="C126" s="267">
        <v>0</v>
      </c>
      <c r="D126" s="268">
        <f t="shared" si="9"/>
        <v>0</v>
      </c>
      <c r="E126" s="267"/>
      <c r="F126" s="267"/>
      <c r="G126" s="267"/>
      <c r="H126" s="267"/>
      <c r="I126" s="287"/>
      <c r="J126" s="288">
        <f t="shared" si="12"/>
        <v>0</v>
      </c>
      <c r="K126" s="276" t="s">
        <v>1087</v>
      </c>
      <c r="L126" s="33">
        <v>1</v>
      </c>
      <c r="M126" s="157" t="s">
        <v>1333</v>
      </c>
      <c r="N126" s="157"/>
      <c r="O126" s="157" t="s">
        <v>468</v>
      </c>
      <c r="P126" s="163" t="s">
        <v>1335</v>
      </c>
    </row>
    <row r="127" s="92" customFormat="1" ht="20.1" customHeight="1" spans="1:16">
      <c r="A127" s="157" t="s">
        <v>1336</v>
      </c>
      <c r="B127" s="266" t="s">
        <v>1337</v>
      </c>
      <c r="C127" s="267">
        <v>0</v>
      </c>
      <c r="D127" s="268">
        <f t="shared" si="9"/>
        <v>0</v>
      </c>
      <c r="E127" s="267"/>
      <c r="F127" s="267"/>
      <c r="G127" s="267"/>
      <c r="H127" s="267"/>
      <c r="I127" s="287"/>
      <c r="J127" s="288">
        <f t="shared" si="12"/>
        <v>0</v>
      </c>
      <c r="K127" s="276" t="s">
        <v>1087</v>
      </c>
      <c r="L127" s="33">
        <v>1</v>
      </c>
      <c r="M127" s="157" t="s">
        <v>1336</v>
      </c>
      <c r="N127" s="157"/>
      <c r="O127" s="157" t="s">
        <v>468</v>
      </c>
      <c r="P127" s="164" t="s">
        <v>1338</v>
      </c>
    </row>
    <row r="128" s="92" customFormat="1" ht="20.1" customHeight="1" spans="1:16">
      <c r="A128" s="157" t="s">
        <v>1339</v>
      </c>
      <c r="B128" s="266" t="s">
        <v>1340</v>
      </c>
      <c r="C128" s="267">
        <v>0</v>
      </c>
      <c r="D128" s="268">
        <f t="shared" si="9"/>
        <v>0</v>
      </c>
      <c r="E128" s="267"/>
      <c r="F128" s="267"/>
      <c r="G128" s="267"/>
      <c r="H128" s="267"/>
      <c r="I128" s="287"/>
      <c r="J128" s="288">
        <f t="shared" si="12"/>
        <v>0</v>
      </c>
      <c r="K128" s="276" t="s">
        <v>1087</v>
      </c>
      <c r="L128" s="33">
        <v>1</v>
      </c>
      <c r="M128" s="157" t="s">
        <v>1339</v>
      </c>
      <c r="N128" s="157"/>
      <c r="O128" s="157" t="s">
        <v>468</v>
      </c>
      <c r="P128" s="164" t="s">
        <v>1341</v>
      </c>
    </row>
    <row r="129" s="92" customFormat="1" ht="20.1" customHeight="1" spans="1:16">
      <c r="A129" s="157" t="s">
        <v>1342</v>
      </c>
      <c r="B129" s="266" t="s">
        <v>1114</v>
      </c>
      <c r="C129" s="267">
        <v>0</v>
      </c>
      <c r="D129" s="268">
        <f t="shared" si="9"/>
        <v>0</v>
      </c>
      <c r="E129" s="267"/>
      <c r="F129" s="267"/>
      <c r="G129" s="267"/>
      <c r="H129" s="267"/>
      <c r="I129" s="287"/>
      <c r="J129" s="288">
        <f t="shared" si="12"/>
        <v>0</v>
      </c>
      <c r="K129" s="276" t="s">
        <v>1087</v>
      </c>
      <c r="L129" s="33">
        <v>1</v>
      </c>
      <c r="M129" s="157" t="s">
        <v>1342</v>
      </c>
      <c r="N129" s="157"/>
      <c r="O129" s="157" t="s">
        <v>468</v>
      </c>
      <c r="P129" s="164" t="s">
        <v>1115</v>
      </c>
    </row>
    <row r="130" s="92" customFormat="1" ht="20.1" customHeight="1" spans="1:16">
      <c r="A130" s="157" t="s">
        <v>1343</v>
      </c>
      <c r="B130" s="266" t="s">
        <v>1344</v>
      </c>
      <c r="C130" s="267">
        <v>0</v>
      </c>
      <c r="D130" s="268">
        <f t="shared" si="9"/>
        <v>0</v>
      </c>
      <c r="E130" s="267"/>
      <c r="F130" s="267"/>
      <c r="G130" s="267"/>
      <c r="H130" s="267"/>
      <c r="I130" s="287"/>
      <c r="J130" s="288">
        <f t="shared" si="12"/>
        <v>0</v>
      </c>
      <c r="K130" s="276" t="s">
        <v>1087</v>
      </c>
      <c r="L130" s="33">
        <v>1</v>
      </c>
      <c r="M130" s="157" t="s">
        <v>1343</v>
      </c>
      <c r="N130" s="157"/>
      <c r="O130" s="157" t="s">
        <v>468</v>
      </c>
      <c r="P130" s="163" t="s">
        <v>1345</v>
      </c>
    </row>
    <row r="131" s="93" customFormat="1" ht="20.1" customHeight="1" spans="1:16">
      <c r="A131" s="263" t="s">
        <v>469</v>
      </c>
      <c r="B131" s="264" t="s">
        <v>235</v>
      </c>
      <c r="C131" s="265">
        <f t="shared" ref="C131:I131" si="18">SUM(C132:C137)</f>
        <v>127</v>
      </c>
      <c r="D131" s="265">
        <f t="shared" si="9"/>
        <v>101</v>
      </c>
      <c r="E131" s="265">
        <f t="shared" si="18"/>
        <v>30</v>
      </c>
      <c r="F131" s="265">
        <f t="shared" si="18"/>
        <v>0</v>
      </c>
      <c r="G131" s="265">
        <f t="shared" si="18"/>
        <v>40</v>
      </c>
      <c r="H131" s="265">
        <f t="shared" si="18"/>
        <v>0</v>
      </c>
      <c r="I131" s="265">
        <f t="shared" si="18"/>
        <v>31</v>
      </c>
      <c r="J131" s="283">
        <f t="shared" si="12"/>
        <v>79.53</v>
      </c>
      <c r="K131" s="284" t="s">
        <v>1082</v>
      </c>
      <c r="L131" s="285"/>
      <c r="M131" s="263" t="s">
        <v>469</v>
      </c>
      <c r="N131" s="263" t="s">
        <v>455</v>
      </c>
      <c r="O131" s="263" t="s">
        <v>469</v>
      </c>
      <c r="P131" s="286" t="s">
        <v>1346</v>
      </c>
    </row>
    <row r="132" s="92" customFormat="1" ht="20.1" customHeight="1" spans="1:16">
      <c r="A132" s="157" t="s">
        <v>1347</v>
      </c>
      <c r="B132" s="266" t="s">
        <v>1086</v>
      </c>
      <c r="C132" s="267"/>
      <c r="D132" s="268">
        <f t="shared" ref="D132:D195" si="19">SUM(E132:I132)</f>
        <v>0</v>
      </c>
      <c r="E132" s="267"/>
      <c r="F132" s="267"/>
      <c r="G132" s="267"/>
      <c r="H132" s="267"/>
      <c r="I132" s="287"/>
      <c r="J132" s="288">
        <f t="shared" si="12"/>
        <v>0</v>
      </c>
      <c r="K132" s="276" t="s">
        <v>1087</v>
      </c>
      <c r="L132" s="33">
        <v>1</v>
      </c>
      <c r="M132" s="157" t="s">
        <v>1347</v>
      </c>
      <c r="N132" s="157"/>
      <c r="O132" s="157" t="s">
        <v>469</v>
      </c>
      <c r="P132" s="164" t="s">
        <v>1088</v>
      </c>
    </row>
    <row r="133" s="92" customFormat="1" ht="20.1" customHeight="1" spans="1:16">
      <c r="A133" s="157" t="s">
        <v>1348</v>
      </c>
      <c r="B133" s="266" t="s">
        <v>1090</v>
      </c>
      <c r="C133" s="267">
        <v>25</v>
      </c>
      <c r="D133" s="268">
        <f t="shared" si="19"/>
        <v>0</v>
      </c>
      <c r="E133" s="267"/>
      <c r="F133" s="267"/>
      <c r="G133" s="267"/>
      <c r="H133" s="267"/>
      <c r="I133" s="287"/>
      <c r="J133" s="288">
        <f t="shared" si="12"/>
        <v>-100</v>
      </c>
      <c r="K133" s="276" t="s">
        <v>1087</v>
      </c>
      <c r="L133" s="33">
        <v>1</v>
      </c>
      <c r="M133" s="157" t="s">
        <v>1348</v>
      </c>
      <c r="N133" s="157"/>
      <c r="O133" s="157" t="s">
        <v>469</v>
      </c>
      <c r="P133" s="164" t="s">
        <v>1091</v>
      </c>
    </row>
    <row r="134" s="92" customFormat="1" ht="20.1" customHeight="1" spans="1:16">
      <c r="A134" s="157" t="s">
        <v>1349</v>
      </c>
      <c r="B134" s="269" t="s">
        <v>1093</v>
      </c>
      <c r="C134" s="267"/>
      <c r="D134" s="268">
        <f t="shared" si="19"/>
        <v>0</v>
      </c>
      <c r="E134" s="267"/>
      <c r="F134" s="267"/>
      <c r="G134" s="267"/>
      <c r="H134" s="267"/>
      <c r="I134" s="287"/>
      <c r="J134" s="288">
        <f t="shared" si="12"/>
        <v>0</v>
      </c>
      <c r="K134" s="276" t="s">
        <v>1087</v>
      </c>
      <c r="L134" s="33">
        <v>1</v>
      </c>
      <c r="M134" s="157" t="s">
        <v>1349</v>
      </c>
      <c r="N134" s="157"/>
      <c r="O134" s="157" t="s">
        <v>469</v>
      </c>
      <c r="P134" s="164" t="s">
        <v>1094</v>
      </c>
    </row>
    <row r="135" s="92" customFormat="1" ht="20.1" customHeight="1" spans="1:16">
      <c r="A135" s="157" t="s">
        <v>1350</v>
      </c>
      <c r="B135" s="269" t="s">
        <v>1351</v>
      </c>
      <c r="C135" s="267">
        <v>3</v>
      </c>
      <c r="D135" s="268">
        <f t="shared" si="19"/>
        <v>20</v>
      </c>
      <c r="E135" s="267"/>
      <c r="F135" s="267"/>
      <c r="G135" s="267"/>
      <c r="H135" s="267"/>
      <c r="I135" s="287">
        <v>20</v>
      </c>
      <c r="J135" s="288">
        <f t="shared" si="12"/>
        <v>666.67</v>
      </c>
      <c r="K135" s="276" t="s">
        <v>1087</v>
      </c>
      <c r="L135" s="33">
        <v>1</v>
      </c>
      <c r="M135" s="157" t="s">
        <v>1350</v>
      </c>
      <c r="N135" s="157"/>
      <c r="O135" s="157" t="s">
        <v>469</v>
      </c>
      <c r="P135" s="163" t="s">
        <v>1352</v>
      </c>
    </row>
    <row r="136" s="92" customFormat="1" ht="20.1" customHeight="1" spans="1:16">
      <c r="A136" s="157" t="s">
        <v>1353</v>
      </c>
      <c r="B136" s="269" t="s">
        <v>1114</v>
      </c>
      <c r="C136" s="267"/>
      <c r="D136" s="268">
        <f t="shared" si="19"/>
        <v>0</v>
      </c>
      <c r="E136" s="267"/>
      <c r="F136" s="267"/>
      <c r="G136" s="267"/>
      <c r="H136" s="267"/>
      <c r="I136" s="287"/>
      <c r="J136" s="288">
        <f t="shared" si="12"/>
        <v>0</v>
      </c>
      <c r="K136" s="276" t="s">
        <v>1087</v>
      </c>
      <c r="L136" s="33">
        <v>1</v>
      </c>
      <c r="M136" s="157" t="s">
        <v>1353</v>
      </c>
      <c r="N136" s="157"/>
      <c r="O136" s="157" t="s">
        <v>469</v>
      </c>
      <c r="P136" s="164" t="s">
        <v>1115</v>
      </c>
    </row>
    <row r="137" s="92" customFormat="1" ht="20.1" customHeight="1" spans="1:16">
      <c r="A137" s="157" t="s">
        <v>1354</v>
      </c>
      <c r="B137" s="36" t="s">
        <v>1355</v>
      </c>
      <c r="C137" s="267">
        <v>99</v>
      </c>
      <c r="D137" s="268">
        <f t="shared" si="19"/>
        <v>81</v>
      </c>
      <c r="E137" s="267">
        <v>30</v>
      </c>
      <c r="F137" s="267"/>
      <c r="G137" s="267">
        <v>40</v>
      </c>
      <c r="H137" s="267"/>
      <c r="I137" s="287">
        <v>11</v>
      </c>
      <c r="J137" s="288">
        <f t="shared" si="12"/>
        <v>81.82</v>
      </c>
      <c r="K137" s="276" t="s">
        <v>1087</v>
      </c>
      <c r="L137" s="33">
        <v>1</v>
      </c>
      <c r="M137" s="157" t="s">
        <v>1354</v>
      </c>
      <c r="N137" s="157"/>
      <c r="O137" s="157" t="s">
        <v>469</v>
      </c>
      <c r="P137" s="163" t="s">
        <v>1356</v>
      </c>
    </row>
    <row r="138" s="93" customFormat="1" ht="20.1" customHeight="1" spans="1:16">
      <c r="A138" s="263" t="s">
        <v>470</v>
      </c>
      <c r="B138" s="264" t="s">
        <v>236</v>
      </c>
      <c r="C138" s="265">
        <v>0</v>
      </c>
      <c r="D138" s="265">
        <f t="shared" si="19"/>
        <v>0</v>
      </c>
      <c r="E138" s="265">
        <f t="shared" ref="E138:H138" si="20">SUM(E139:E145)</f>
        <v>0</v>
      </c>
      <c r="F138" s="265">
        <f t="shared" si="20"/>
        <v>0</v>
      </c>
      <c r="G138" s="265">
        <f>VLOOKUP(A138,[1]√表四、2024年公共财政支出变动表!$A$7:$R$214,18,FALSE)</f>
        <v>0</v>
      </c>
      <c r="H138" s="265">
        <f t="shared" si="20"/>
        <v>0</v>
      </c>
      <c r="I138" s="265"/>
      <c r="J138" s="283">
        <f t="shared" si="12"/>
        <v>0</v>
      </c>
      <c r="K138" s="284" t="s">
        <v>1082</v>
      </c>
      <c r="L138" s="285"/>
      <c r="M138" s="263" t="s">
        <v>470</v>
      </c>
      <c r="N138" s="263" t="s">
        <v>455</v>
      </c>
      <c r="O138" s="263" t="s">
        <v>470</v>
      </c>
      <c r="P138" s="286" t="s">
        <v>1357</v>
      </c>
    </row>
    <row r="139" s="92" customFormat="1" ht="20.1" customHeight="1" spans="1:16">
      <c r="A139" s="157" t="s">
        <v>1358</v>
      </c>
      <c r="B139" s="266" t="s">
        <v>1086</v>
      </c>
      <c r="C139" s="267">
        <v>0</v>
      </c>
      <c r="D139" s="268">
        <f t="shared" si="19"/>
        <v>0</v>
      </c>
      <c r="E139" s="267"/>
      <c r="F139" s="267"/>
      <c r="G139" s="267"/>
      <c r="H139" s="267"/>
      <c r="I139" s="287"/>
      <c r="J139" s="288">
        <f t="shared" ref="J139:J183" si="21">ROUND(IF(C139=0,IF(D139=0,0,1),IF(D139=0,-1,D139/C139)),4)*100</f>
        <v>0</v>
      </c>
      <c r="K139" s="276" t="s">
        <v>1087</v>
      </c>
      <c r="L139" s="33">
        <v>1</v>
      </c>
      <c r="M139" s="157" t="s">
        <v>1358</v>
      </c>
      <c r="N139" s="157"/>
      <c r="O139" s="157" t="s">
        <v>470</v>
      </c>
      <c r="P139" s="164" t="s">
        <v>1088</v>
      </c>
    </row>
    <row r="140" s="92" customFormat="1" ht="20.1" customHeight="1" spans="1:16">
      <c r="A140" s="157" t="s">
        <v>1359</v>
      </c>
      <c r="B140" s="269" t="s">
        <v>1090</v>
      </c>
      <c r="C140" s="267">
        <v>0</v>
      </c>
      <c r="D140" s="268">
        <f t="shared" si="19"/>
        <v>0</v>
      </c>
      <c r="E140" s="267"/>
      <c r="F140" s="267"/>
      <c r="G140" s="267"/>
      <c r="H140" s="267"/>
      <c r="I140" s="287"/>
      <c r="J140" s="288">
        <f t="shared" si="21"/>
        <v>0</v>
      </c>
      <c r="K140" s="276" t="s">
        <v>1087</v>
      </c>
      <c r="L140" s="33">
        <v>1</v>
      </c>
      <c r="M140" s="157" t="s">
        <v>1359</v>
      </c>
      <c r="N140" s="157"/>
      <c r="O140" s="157" t="s">
        <v>470</v>
      </c>
      <c r="P140" s="164" t="s">
        <v>1091</v>
      </c>
    </row>
    <row r="141" s="92" customFormat="1" ht="20.1" customHeight="1" spans="1:16">
      <c r="A141" s="157" t="s">
        <v>1360</v>
      </c>
      <c r="B141" s="269" t="s">
        <v>1093</v>
      </c>
      <c r="C141" s="267">
        <v>0</v>
      </c>
      <c r="D141" s="268">
        <f t="shared" si="19"/>
        <v>0</v>
      </c>
      <c r="E141" s="267"/>
      <c r="F141" s="267"/>
      <c r="G141" s="267"/>
      <c r="H141" s="267"/>
      <c r="I141" s="287"/>
      <c r="J141" s="288">
        <f t="shared" si="21"/>
        <v>0</v>
      </c>
      <c r="K141" s="276" t="s">
        <v>1087</v>
      </c>
      <c r="L141" s="33">
        <v>1</v>
      </c>
      <c r="M141" s="157" t="s">
        <v>1360</v>
      </c>
      <c r="N141" s="157"/>
      <c r="O141" s="157" t="s">
        <v>470</v>
      </c>
      <c r="P141" s="164" t="s">
        <v>1094</v>
      </c>
    </row>
    <row r="142" s="92" customFormat="1" ht="20.1" customHeight="1" spans="1:16">
      <c r="A142" s="157" t="s">
        <v>1361</v>
      </c>
      <c r="B142" s="269" t="s">
        <v>1362</v>
      </c>
      <c r="C142" s="267">
        <v>0</v>
      </c>
      <c r="D142" s="268">
        <f t="shared" si="19"/>
        <v>0</v>
      </c>
      <c r="E142" s="267"/>
      <c r="F142" s="267"/>
      <c r="G142" s="267"/>
      <c r="H142" s="267"/>
      <c r="I142" s="287"/>
      <c r="J142" s="288">
        <f t="shared" si="21"/>
        <v>0</v>
      </c>
      <c r="K142" s="276" t="s">
        <v>1087</v>
      </c>
      <c r="L142" s="33">
        <v>1</v>
      </c>
      <c r="M142" s="157" t="s">
        <v>1361</v>
      </c>
      <c r="N142" s="157"/>
      <c r="O142" s="157" t="s">
        <v>470</v>
      </c>
      <c r="P142" s="163" t="s">
        <v>1363</v>
      </c>
    </row>
    <row r="143" s="92" customFormat="1" ht="20.1" customHeight="1" spans="1:16">
      <c r="A143" s="157" t="s">
        <v>1364</v>
      </c>
      <c r="B143" s="36" t="s">
        <v>1365</v>
      </c>
      <c r="C143" s="267">
        <v>0</v>
      </c>
      <c r="D143" s="268">
        <f t="shared" si="19"/>
        <v>0</v>
      </c>
      <c r="E143" s="267"/>
      <c r="F143" s="267"/>
      <c r="G143" s="267"/>
      <c r="H143" s="267"/>
      <c r="I143" s="287"/>
      <c r="J143" s="288">
        <f t="shared" si="21"/>
        <v>0</v>
      </c>
      <c r="K143" s="276" t="s">
        <v>1087</v>
      </c>
      <c r="L143" s="33">
        <v>1</v>
      </c>
      <c r="M143" s="157" t="s">
        <v>1364</v>
      </c>
      <c r="N143" s="157"/>
      <c r="O143" s="157" t="s">
        <v>470</v>
      </c>
      <c r="P143" s="163" t="s">
        <v>1366</v>
      </c>
    </row>
    <row r="144" s="92" customFormat="1" ht="20.1" customHeight="1" spans="1:16">
      <c r="A144" s="157" t="s">
        <v>1367</v>
      </c>
      <c r="B144" s="266" t="s">
        <v>1114</v>
      </c>
      <c r="C144" s="267">
        <v>0</v>
      </c>
      <c r="D144" s="268">
        <f t="shared" si="19"/>
        <v>0</v>
      </c>
      <c r="E144" s="267"/>
      <c r="F144" s="267"/>
      <c r="G144" s="267"/>
      <c r="H144" s="267"/>
      <c r="I144" s="287"/>
      <c r="J144" s="288">
        <f t="shared" si="21"/>
        <v>0</v>
      </c>
      <c r="K144" s="276" t="s">
        <v>1087</v>
      </c>
      <c r="L144" s="33">
        <v>1</v>
      </c>
      <c r="M144" s="157" t="s">
        <v>1367</v>
      </c>
      <c r="N144" s="157"/>
      <c r="O144" s="157" t="s">
        <v>470</v>
      </c>
      <c r="P144" s="164" t="s">
        <v>1115</v>
      </c>
    </row>
    <row r="145" s="92" customFormat="1" ht="20.1" customHeight="1" spans="1:16">
      <c r="A145" s="157" t="s">
        <v>1368</v>
      </c>
      <c r="B145" s="266" t="s">
        <v>1369</v>
      </c>
      <c r="C145" s="267">
        <v>0</v>
      </c>
      <c r="D145" s="268">
        <f t="shared" si="19"/>
        <v>0</v>
      </c>
      <c r="E145" s="267"/>
      <c r="F145" s="267"/>
      <c r="G145" s="267"/>
      <c r="H145" s="267"/>
      <c r="I145" s="287"/>
      <c r="J145" s="288">
        <f t="shared" si="21"/>
        <v>0</v>
      </c>
      <c r="K145" s="276" t="s">
        <v>1087</v>
      </c>
      <c r="L145" s="33">
        <v>1</v>
      </c>
      <c r="M145" s="157" t="s">
        <v>1368</v>
      </c>
      <c r="N145" s="157"/>
      <c r="O145" s="157" t="s">
        <v>470</v>
      </c>
      <c r="P145" s="164" t="s">
        <v>1370</v>
      </c>
    </row>
    <row r="146" s="93" customFormat="1" ht="20.1" customHeight="1" spans="1:16">
      <c r="A146" s="263" t="s">
        <v>471</v>
      </c>
      <c r="B146" s="264" t="s">
        <v>237</v>
      </c>
      <c r="C146" s="265">
        <f t="shared" ref="C146:I146" si="22">SUM(C147:C151)</f>
        <v>90</v>
      </c>
      <c r="D146" s="265">
        <f t="shared" si="19"/>
        <v>93</v>
      </c>
      <c r="E146" s="265">
        <f t="shared" si="22"/>
        <v>0</v>
      </c>
      <c r="F146" s="265">
        <f t="shared" si="22"/>
        <v>0</v>
      </c>
      <c r="G146" s="265">
        <f t="shared" si="22"/>
        <v>0</v>
      </c>
      <c r="H146" s="265">
        <f t="shared" si="22"/>
        <v>0</v>
      </c>
      <c r="I146" s="265">
        <f t="shared" si="22"/>
        <v>93</v>
      </c>
      <c r="J146" s="283">
        <f t="shared" si="21"/>
        <v>103.33</v>
      </c>
      <c r="K146" s="284" t="s">
        <v>1082</v>
      </c>
      <c r="L146" s="285"/>
      <c r="M146" s="263" t="s">
        <v>471</v>
      </c>
      <c r="N146" s="263" t="s">
        <v>455</v>
      </c>
      <c r="O146" s="263" t="s">
        <v>471</v>
      </c>
      <c r="P146" s="286" t="s">
        <v>1371</v>
      </c>
    </row>
    <row r="147" s="92" customFormat="1" ht="20.25" customHeight="1" spans="1:16">
      <c r="A147" s="157" t="s">
        <v>1372</v>
      </c>
      <c r="B147" s="269" t="s">
        <v>1086</v>
      </c>
      <c r="C147" s="267"/>
      <c r="D147" s="268">
        <f t="shared" si="19"/>
        <v>0</v>
      </c>
      <c r="E147" s="267"/>
      <c r="F147" s="267"/>
      <c r="G147" s="267"/>
      <c r="H147" s="267"/>
      <c r="I147" s="287"/>
      <c r="J147" s="288">
        <f t="shared" si="21"/>
        <v>0</v>
      </c>
      <c r="K147" s="276" t="s">
        <v>1087</v>
      </c>
      <c r="L147" s="33">
        <v>1</v>
      </c>
      <c r="M147" s="157" t="s">
        <v>1372</v>
      </c>
      <c r="N147" s="157"/>
      <c r="O147" s="157" t="s">
        <v>471</v>
      </c>
      <c r="P147" s="164" t="s">
        <v>1088</v>
      </c>
    </row>
    <row r="148" s="92" customFormat="1" ht="20.1" customHeight="1" spans="1:16">
      <c r="A148" s="157" t="s">
        <v>1373</v>
      </c>
      <c r="B148" s="269" t="s">
        <v>1090</v>
      </c>
      <c r="C148" s="267">
        <v>81</v>
      </c>
      <c r="D148" s="268">
        <f t="shared" si="19"/>
        <v>83</v>
      </c>
      <c r="E148" s="267"/>
      <c r="F148" s="267"/>
      <c r="G148" s="267"/>
      <c r="H148" s="267"/>
      <c r="I148" s="287">
        <v>83</v>
      </c>
      <c r="J148" s="288">
        <f t="shared" si="21"/>
        <v>102.47</v>
      </c>
      <c r="K148" s="276" t="s">
        <v>1087</v>
      </c>
      <c r="L148" s="33">
        <v>1</v>
      </c>
      <c r="M148" s="157" t="s">
        <v>1373</v>
      </c>
      <c r="N148" s="157"/>
      <c r="O148" s="157" t="s">
        <v>471</v>
      </c>
      <c r="P148" s="164" t="s">
        <v>1091</v>
      </c>
    </row>
    <row r="149" s="92" customFormat="1" ht="20.1" customHeight="1" spans="1:16">
      <c r="A149" s="157" t="s">
        <v>1374</v>
      </c>
      <c r="B149" s="266" t="s">
        <v>1093</v>
      </c>
      <c r="C149" s="267"/>
      <c r="D149" s="268">
        <f t="shared" si="19"/>
        <v>0</v>
      </c>
      <c r="E149" s="267"/>
      <c r="F149" s="267"/>
      <c r="G149" s="267"/>
      <c r="H149" s="267"/>
      <c r="I149" s="287"/>
      <c r="J149" s="288">
        <f t="shared" si="21"/>
        <v>0</v>
      </c>
      <c r="K149" s="276" t="s">
        <v>1087</v>
      </c>
      <c r="L149" s="33">
        <v>1</v>
      </c>
      <c r="M149" s="157" t="s">
        <v>1374</v>
      </c>
      <c r="N149" s="157"/>
      <c r="O149" s="157" t="s">
        <v>471</v>
      </c>
      <c r="P149" s="164" t="s">
        <v>1094</v>
      </c>
    </row>
    <row r="150" s="92" customFormat="1" ht="20.1" customHeight="1" spans="1:16">
      <c r="A150" s="157" t="s">
        <v>1375</v>
      </c>
      <c r="B150" s="266" t="s">
        <v>1376</v>
      </c>
      <c r="C150" s="267">
        <v>9</v>
      </c>
      <c r="D150" s="268">
        <f t="shared" si="19"/>
        <v>10</v>
      </c>
      <c r="E150" s="267"/>
      <c r="F150" s="267"/>
      <c r="G150" s="267"/>
      <c r="H150" s="267"/>
      <c r="I150" s="287">
        <v>10</v>
      </c>
      <c r="J150" s="288">
        <f t="shared" si="21"/>
        <v>111.11</v>
      </c>
      <c r="K150" s="276" t="s">
        <v>1087</v>
      </c>
      <c r="L150" s="33">
        <v>1</v>
      </c>
      <c r="M150" s="157" t="s">
        <v>1375</v>
      </c>
      <c r="N150" s="157"/>
      <c r="O150" s="157" t="s">
        <v>471</v>
      </c>
      <c r="P150" s="163" t="s">
        <v>1377</v>
      </c>
    </row>
    <row r="151" s="92" customFormat="1" ht="20.1" customHeight="1" spans="1:16">
      <c r="A151" s="157" t="s">
        <v>1378</v>
      </c>
      <c r="B151" s="266" t="s">
        <v>1379</v>
      </c>
      <c r="C151" s="267"/>
      <c r="D151" s="268">
        <f t="shared" si="19"/>
        <v>0</v>
      </c>
      <c r="E151" s="267"/>
      <c r="F151" s="267"/>
      <c r="G151" s="267"/>
      <c r="H151" s="267"/>
      <c r="I151" s="287"/>
      <c r="J151" s="288">
        <f t="shared" si="21"/>
        <v>0</v>
      </c>
      <c r="K151" s="276" t="s">
        <v>1087</v>
      </c>
      <c r="L151" s="33">
        <v>1</v>
      </c>
      <c r="M151" s="157" t="s">
        <v>1378</v>
      </c>
      <c r="N151" s="157"/>
      <c r="O151" s="157" t="s">
        <v>471</v>
      </c>
      <c r="P151" s="163" t="s">
        <v>1380</v>
      </c>
    </row>
    <row r="152" s="93" customFormat="1" ht="20.1" customHeight="1" spans="1:16">
      <c r="A152" s="263" t="s">
        <v>472</v>
      </c>
      <c r="B152" s="264" t="s">
        <v>238</v>
      </c>
      <c r="C152" s="265">
        <f t="shared" ref="C152:I152" si="23">SUM(C153:C158)</f>
        <v>43</v>
      </c>
      <c r="D152" s="265">
        <f t="shared" si="19"/>
        <v>42</v>
      </c>
      <c r="E152" s="265">
        <f t="shared" si="23"/>
        <v>0</v>
      </c>
      <c r="F152" s="265">
        <f t="shared" si="23"/>
        <v>0</v>
      </c>
      <c r="G152" s="265">
        <f t="shared" si="23"/>
        <v>0</v>
      </c>
      <c r="H152" s="265">
        <f t="shared" si="23"/>
        <v>0</v>
      </c>
      <c r="I152" s="265">
        <f t="shared" si="23"/>
        <v>42</v>
      </c>
      <c r="J152" s="283">
        <f t="shared" si="21"/>
        <v>97.67</v>
      </c>
      <c r="K152" s="284" t="s">
        <v>1082</v>
      </c>
      <c r="L152" s="285"/>
      <c r="M152" s="263" t="s">
        <v>472</v>
      </c>
      <c r="N152" s="263" t="s">
        <v>455</v>
      </c>
      <c r="O152" s="263" t="s">
        <v>472</v>
      </c>
      <c r="P152" s="286" t="s">
        <v>1381</v>
      </c>
    </row>
    <row r="153" s="92" customFormat="1" ht="20.1" customHeight="1" spans="1:16">
      <c r="A153" s="157" t="s">
        <v>1382</v>
      </c>
      <c r="B153" s="269" t="s">
        <v>1086</v>
      </c>
      <c r="C153" s="267">
        <v>43</v>
      </c>
      <c r="D153" s="268">
        <f t="shared" si="19"/>
        <v>41</v>
      </c>
      <c r="E153" s="267"/>
      <c r="F153" s="267"/>
      <c r="G153" s="267"/>
      <c r="H153" s="267"/>
      <c r="I153" s="287">
        <v>41</v>
      </c>
      <c r="J153" s="288">
        <f t="shared" si="21"/>
        <v>95.35</v>
      </c>
      <c r="K153" s="276" t="s">
        <v>1087</v>
      </c>
      <c r="L153" s="33">
        <v>1</v>
      </c>
      <c r="M153" s="157" t="s">
        <v>1382</v>
      </c>
      <c r="N153" s="157"/>
      <c r="O153" s="157" t="s">
        <v>472</v>
      </c>
      <c r="P153" s="164" t="s">
        <v>1088</v>
      </c>
    </row>
    <row r="154" s="92" customFormat="1" ht="20.1" customHeight="1" spans="1:16">
      <c r="A154" s="157" t="s">
        <v>1383</v>
      </c>
      <c r="B154" s="269" t="s">
        <v>1090</v>
      </c>
      <c r="C154" s="267"/>
      <c r="D154" s="268">
        <f t="shared" si="19"/>
        <v>0</v>
      </c>
      <c r="E154" s="267"/>
      <c r="F154" s="267"/>
      <c r="G154" s="267"/>
      <c r="H154" s="267"/>
      <c r="I154" s="287"/>
      <c r="J154" s="288">
        <f t="shared" si="21"/>
        <v>0</v>
      </c>
      <c r="K154" s="276" t="s">
        <v>1087</v>
      </c>
      <c r="L154" s="33">
        <v>1</v>
      </c>
      <c r="M154" s="157" t="s">
        <v>1383</v>
      </c>
      <c r="N154" s="157"/>
      <c r="O154" s="157" t="s">
        <v>472</v>
      </c>
      <c r="P154" s="164" t="s">
        <v>1091</v>
      </c>
    </row>
    <row r="155" s="92" customFormat="1" ht="20.1" customHeight="1" spans="1:16">
      <c r="A155" s="157" t="s">
        <v>1384</v>
      </c>
      <c r="B155" s="36" t="s">
        <v>1093</v>
      </c>
      <c r="C155" s="267"/>
      <c r="D155" s="268">
        <f t="shared" si="19"/>
        <v>1</v>
      </c>
      <c r="E155" s="267"/>
      <c r="F155" s="267"/>
      <c r="G155" s="267"/>
      <c r="H155" s="267"/>
      <c r="I155" s="287">
        <v>1</v>
      </c>
      <c r="J155" s="288">
        <f t="shared" si="21"/>
        <v>100</v>
      </c>
      <c r="K155" s="276" t="s">
        <v>1087</v>
      </c>
      <c r="L155" s="33">
        <v>1</v>
      </c>
      <c r="M155" s="157" t="s">
        <v>1384</v>
      </c>
      <c r="N155" s="157"/>
      <c r="O155" s="157" t="s">
        <v>472</v>
      </c>
      <c r="P155" s="164" t="s">
        <v>1094</v>
      </c>
    </row>
    <row r="156" s="92" customFormat="1" ht="20.1" customHeight="1" spans="1:16">
      <c r="A156" s="157" t="s">
        <v>1385</v>
      </c>
      <c r="B156" s="266" t="s">
        <v>1131</v>
      </c>
      <c r="C156" s="267"/>
      <c r="D156" s="268">
        <f t="shared" si="19"/>
        <v>0</v>
      </c>
      <c r="E156" s="267"/>
      <c r="F156" s="267"/>
      <c r="G156" s="267"/>
      <c r="H156" s="267"/>
      <c r="I156" s="287"/>
      <c r="J156" s="288">
        <f t="shared" si="21"/>
        <v>0</v>
      </c>
      <c r="K156" s="276" t="s">
        <v>1087</v>
      </c>
      <c r="L156" s="33">
        <v>1</v>
      </c>
      <c r="M156" s="157" t="s">
        <v>1385</v>
      </c>
      <c r="N156" s="157"/>
      <c r="O156" s="157" t="s">
        <v>472</v>
      </c>
      <c r="P156" s="164" t="s">
        <v>1132</v>
      </c>
    </row>
    <row r="157" s="93" customFormat="1" ht="20.1" customHeight="1" spans="1:16">
      <c r="A157" s="157" t="s">
        <v>1386</v>
      </c>
      <c r="B157" s="266" t="s">
        <v>1114</v>
      </c>
      <c r="C157" s="267"/>
      <c r="D157" s="268">
        <f t="shared" si="19"/>
        <v>0</v>
      </c>
      <c r="E157" s="267"/>
      <c r="F157" s="267"/>
      <c r="G157" s="267"/>
      <c r="H157" s="267"/>
      <c r="I157" s="291"/>
      <c r="J157" s="288">
        <f t="shared" si="21"/>
        <v>0</v>
      </c>
      <c r="K157" s="276" t="s">
        <v>1087</v>
      </c>
      <c r="L157" s="33">
        <v>1</v>
      </c>
      <c r="M157" s="157" t="s">
        <v>1386</v>
      </c>
      <c r="N157" s="157"/>
      <c r="O157" s="157" t="s">
        <v>472</v>
      </c>
      <c r="P157" s="164" t="s">
        <v>1115</v>
      </c>
    </row>
    <row r="158" s="92" customFormat="1" ht="20.1" customHeight="1" spans="1:16">
      <c r="A158" s="157" t="s">
        <v>1387</v>
      </c>
      <c r="B158" s="266" t="s">
        <v>1388</v>
      </c>
      <c r="C158" s="267"/>
      <c r="D158" s="268">
        <f t="shared" si="19"/>
        <v>0</v>
      </c>
      <c r="E158" s="267"/>
      <c r="F158" s="267"/>
      <c r="G158" s="267"/>
      <c r="H158" s="267"/>
      <c r="I158" s="287"/>
      <c r="J158" s="288">
        <f t="shared" si="21"/>
        <v>0</v>
      </c>
      <c r="K158" s="276" t="s">
        <v>1087</v>
      </c>
      <c r="L158" s="33">
        <v>1</v>
      </c>
      <c r="M158" s="157" t="s">
        <v>1387</v>
      </c>
      <c r="N158" s="157"/>
      <c r="O158" s="157" t="s">
        <v>472</v>
      </c>
      <c r="P158" s="163" t="s">
        <v>1389</v>
      </c>
    </row>
    <row r="159" s="93" customFormat="1" ht="20.1" customHeight="1" spans="1:16">
      <c r="A159" s="263" t="s">
        <v>473</v>
      </c>
      <c r="B159" s="264" t="s">
        <v>239</v>
      </c>
      <c r="C159" s="265">
        <f t="shared" ref="C159:I159" si="24">SUM(C160:C165)</f>
        <v>668</v>
      </c>
      <c r="D159" s="265">
        <f t="shared" si="19"/>
        <v>653</v>
      </c>
      <c r="E159" s="265">
        <f t="shared" si="24"/>
        <v>108</v>
      </c>
      <c r="F159" s="265">
        <f t="shared" si="24"/>
        <v>3</v>
      </c>
      <c r="G159" s="265">
        <f t="shared" si="24"/>
        <v>226</v>
      </c>
      <c r="H159" s="265">
        <f t="shared" si="24"/>
        <v>0</v>
      </c>
      <c r="I159" s="265">
        <f t="shared" si="24"/>
        <v>316</v>
      </c>
      <c r="J159" s="283">
        <f t="shared" si="21"/>
        <v>97.75</v>
      </c>
      <c r="K159" s="284" t="s">
        <v>1082</v>
      </c>
      <c r="L159" s="285"/>
      <c r="M159" s="263" t="s">
        <v>473</v>
      </c>
      <c r="N159" s="263" t="s">
        <v>455</v>
      </c>
      <c r="O159" s="263" t="s">
        <v>473</v>
      </c>
      <c r="P159" s="286" t="s">
        <v>1390</v>
      </c>
    </row>
    <row r="160" s="92" customFormat="1" ht="20.1" customHeight="1" spans="1:16">
      <c r="A160" s="157" t="s">
        <v>1391</v>
      </c>
      <c r="B160" s="269" t="s">
        <v>1086</v>
      </c>
      <c r="C160" s="267">
        <v>149</v>
      </c>
      <c r="D160" s="268">
        <f t="shared" si="19"/>
        <v>168</v>
      </c>
      <c r="E160" s="267"/>
      <c r="F160" s="267"/>
      <c r="G160" s="267"/>
      <c r="H160" s="267"/>
      <c r="I160" s="287">
        <v>168</v>
      </c>
      <c r="J160" s="288">
        <f t="shared" si="21"/>
        <v>112.75</v>
      </c>
      <c r="K160" s="276" t="s">
        <v>1087</v>
      </c>
      <c r="L160" s="33">
        <v>1</v>
      </c>
      <c r="M160" s="157" t="s">
        <v>1391</v>
      </c>
      <c r="N160" s="157"/>
      <c r="O160" s="157" t="s">
        <v>473</v>
      </c>
      <c r="P160" s="164" t="s">
        <v>1088</v>
      </c>
    </row>
    <row r="161" s="92" customFormat="1" ht="20.1" customHeight="1" spans="1:16">
      <c r="A161" s="157" t="s">
        <v>1392</v>
      </c>
      <c r="B161" s="269" t="s">
        <v>1090</v>
      </c>
      <c r="C161" s="267">
        <v>297</v>
      </c>
      <c r="D161" s="268">
        <f t="shared" si="19"/>
        <v>202</v>
      </c>
      <c r="E161" s="267">
        <v>108</v>
      </c>
      <c r="F161" s="267">
        <v>3</v>
      </c>
      <c r="G161" s="267">
        <v>1</v>
      </c>
      <c r="H161" s="267"/>
      <c r="I161" s="287">
        <v>90</v>
      </c>
      <c r="J161" s="288">
        <f t="shared" si="21"/>
        <v>68.01</v>
      </c>
      <c r="K161" s="276" t="s">
        <v>1087</v>
      </c>
      <c r="L161" s="33">
        <v>1</v>
      </c>
      <c r="M161" s="157" t="s">
        <v>1392</v>
      </c>
      <c r="N161" s="157"/>
      <c r="O161" s="157" t="s">
        <v>473</v>
      </c>
      <c r="P161" s="164" t="s">
        <v>1091</v>
      </c>
    </row>
    <row r="162" s="92" customFormat="1" ht="20.1" customHeight="1" spans="1:16">
      <c r="A162" s="157" t="s">
        <v>1393</v>
      </c>
      <c r="B162" s="266" t="s">
        <v>1093</v>
      </c>
      <c r="C162" s="267"/>
      <c r="D162" s="268">
        <f t="shared" si="19"/>
        <v>0</v>
      </c>
      <c r="E162" s="267"/>
      <c r="F162" s="267"/>
      <c r="G162" s="267"/>
      <c r="H162" s="267"/>
      <c r="I162" s="287"/>
      <c r="J162" s="288">
        <f t="shared" si="21"/>
        <v>0</v>
      </c>
      <c r="K162" s="276" t="s">
        <v>1087</v>
      </c>
      <c r="L162" s="33">
        <v>1</v>
      </c>
      <c r="M162" s="157" t="s">
        <v>1393</v>
      </c>
      <c r="N162" s="157"/>
      <c r="O162" s="157" t="s">
        <v>473</v>
      </c>
      <c r="P162" s="164" t="s">
        <v>1094</v>
      </c>
    </row>
    <row r="163" s="92" customFormat="1" ht="20.1" customHeight="1" spans="1:16">
      <c r="A163" s="157" t="s">
        <v>1394</v>
      </c>
      <c r="B163" s="266" t="s">
        <v>1395</v>
      </c>
      <c r="C163" s="267"/>
      <c r="D163" s="268">
        <f t="shared" si="19"/>
        <v>0</v>
      </c>
      <c r="E163" s="267"/>
      <c r="F163" s="267"/>
      <c r="G163" s="267"/>
      <c r="H163" s="267"/>
      <c r="I163" s="287"/>
      <c r="J163" s="288">
        <f t="shared" si="21"/>
        <v>0</v>
      </c>
      <c r="K163" s="276" t="s">
        <v>1087</v>
      </c>
      <c r="L163" s="33">
        <v>1</v>
      </c>
      <c r="M163" s="157" t="s">
        <v>1394</v>
      </c>
      <c r="N163" s="157"/>
      <c r="O163" s="157" t="s">
        <v>473</v>
      </c>
      <c r="P163" s="164" t="s">
        <v>1396</v>
      </c>
    </row>
    <row r="164" s="92" customFormat="1" ht="20.25" customHeight="1" spans="1:16">
      <c r="A164" s="157" t="s">
        <v>1397</v>
      </c>
      <c r="B164" s="269" t="s">
        <v>1114</v>
      </c>
      <c r="C164" s="267"/>
      <c r="D164" s="268">
        <f t="shared" si="19"/>
        <v>0</v>
      </c>
      <c r="E164" s="267"/>
      <c r="F164" s="267"/>
      <c r="G164" s="267"/>
      <c r="H164" s="267"/>
      <c r="I164" s="287"/>
      <c r="J164" s="288">
        <f t="shared" si="21"/>
        <v>0</v>
      </c>
      <c r="K164" s="276" t="s">
        <v>1087</v>
      </c>
      <c r="L164" s="33">
        <v>1</v>
      </c>
      <c r="M164" s="157" t="s">
        <v>1397</v>
      </c>
      <c r="N164" s="157"/>
      <c r="O164" s="157" t="s">
        <v>473</v>
      </c>
      <c r="P164" s="164" t="s">
        <v>1115</v>
      </c>
    </row>
    <row r="165" s="92" customFormat="1" ht="20.1" customHeight="1" spans="1:16">
      <c r="A165" s="157" t="s">
        <v>1398</v>
      </c>
      <c r="B165" s="269" t="s">
        <v>1399</v>
      </c>
      <c r="C165" s="267">
        <v>222</v>
      </c>
      <c r="D165" s="268">
        <f t="shared" si="19"/>
        <v>283</v>
      </c>
      <c r="E165" s="267"/>
      <c r="F165" s="267"/>
      <c r="G165" s="267">
        <v>225</v>
      </c>
      <c r="H165" s="267"/>
      <c r="I165" s="287">
        <v>58</v>
      </c>
      <c r="J165" s="288">
        <f t="shared" si="21"/>
        <v>127.48</v>
      </c>
      <c r="K165" s="276" t="s">
        <v>1087</v>
      </c>
      <c r="L165" s="33">
        <v>1</v>
      </c>
      <c r="M165" s="157" t="s">
        <v>1398</v>
      </c>
      <c r="N165" s="157"/>
      <c r="O165" s="157" t="s">
        <v>473</v>
      </c>
      <c r="P165" s="163" t="s">
        <v>1400</v>
      </c>
    </row>
    <row r="166" s="93" customFormat="1" ht="20.1" customHeight="1" spans="1:16">
      <c r="A166" s="263" t="s">
        <v>474</v>
      </c>
      <c r="B166" s="264" t="s">
        <v>240</v>
      </c>
      <c r="C166" s="265">
        <f t="shared" ref="C166:I166" si="25">SUM(C167:C172)</f>
        <v>564</v>
      </c>
      <c r="D166" s="265">
        <f t="shared" si="19"/>
        <v>419</v>
      </c>
      <c r="E166" s="265">
        <f t="shared" si="25"/>
        <v>0</v>
      </c>
      <c r="F166" s="265">
        <f t="shared" si="25"/>
        <v>0</v>
      </c>
      <c r="G166" s="265">
        <f t="shared" si="25"/>
        <v>57</v>
      </c>
      <c r="H166" s="265">
        <f t="shared" si="25"/>
        <v>0</v>
      </c>
      <c r="I166" s="265">
        <f t="shared" si="25"/>
        <v>362</v>
      </c>
      <c r="J166" s="283">
        <f t="shared" si="21"/>
        <v>74.29</v>
      </c>
      <c r="K166" s="284" t="s">
        <v>1082</v>
      </c>
      <c r="L166" s="285"/>
      <c r="M166" s="263" t="s">
        <v>474</v>
      </c>
      <c r="N166" s="263" t="s">
        <v>455</v>
      </c>
      <c r="O166" s="263" t="s">
        <v>474</v>
      </c>
      <c r="P166" s="286" t="s">
        <v>1401</v>
      </c>
    </row>
    <row r="167" s="92" customFormat="1" ht="20.1" customHeight="1" spans="1:16">
      <c r="A167" s="157" t="s">
        <v>1402</v>
      </c>
      <c r="B167" s="269" t="s">
        <v>1086</v>
      </c>
      <c r="C167" s="267">
        <v>476</v>
      </c>
      <c r="D167" s="268">
        <f t="shared" si="19"/>
        <v>343</v>
      </c>
      <c r="E167" s="267"/>
      <c r="F167" s="267"/>
      <c r="G167" s="267"/>
      <c r="H167" s="267"/>
      <c r="I167" s="287">
        <v>343</v>
      </c>
      <c r="J167" s="288">
        <f t="shared" si="21"/>
        <v>72.06</v>
      </c>
      <c r="K167" s="276" t="s">
        <v>1087</v>
      </c>
      <c r="L167" s="33">
        <v>1</v>
      </c>
      <c r="M167" s="157" t="s">
        <v>1402</v>
      </c>
      <c r="N167" s="157"/>
      <c r="O167" s="157" t="s">
        <v>474</v>
      </c>
      <c r="P167" s="164" t="s">
        <v>1088</v>
      </c>
    </row>
    <row r="168" s="92" customFormat="1" ht="20.1" customHeight="1" spans="1:16">
      <c r="A168" s="157" t="s">
        <v>1403</v>
      </c>
      <c r="B168" s="266" t="s">
        <v>1090</v>
      </c>
      <c r="C168" s="267"/>
      <c r="D168" s="268">
        <f t="shared" si="19"/>
        <v>0</v>
      </c>
      <c r="E168" s="267"/>
      <c r="F168" s="267"/>
      <c r="G168" s="267"/>
      <c r="H168" s="267"/>
      <c r="I168" s="287"/>
      <c r="J168" s="288">
        <f t="shared" si="21"/>
        <v>0</v>
      </c>
      <c r="K168" s="276" t="s">
        <v>1087</v>
      </c>
      <c r="L168" s="33">
        <v>1</v>
      </c>
      <c r="M168" s="157" t="s">
        <v>1403</v>
      </c>
      <c r="N168" s="157"/>
      <c r="O168" s="157" t="s">
        <v>474</v>
      </c>
      <c r="P168" s="164" t="s">
        <v>1091</v>
      </c>
    </row>
    <row r="169" s="92" customFormat="1" ht="20.1" customHeight="1" spans="1:16">
      <c r="A169" s="157" t="s">
        <v>1404</v>
      </c>
      <c r="B169" s="266" t="s">
        <v>1093</v>
      </c>
      <c r="C169" s="267"/>
      <c r="D169" s="268">
        <f t="shared" si="19"/>
        <v>0</v>
      </c>
      <c r="E169" s="267"/>
      <c r="F169" s="267"/>
      <c r="G169" s="267"/>
      <c r="H169" s="267"/>
      <c r="I169" s="287"/>
      <c r="J169" s="288">
        <f t="shared" si="21"/>
        <v>0</v>
      </c>
      <c r="K169" s="276" t="s">
        <v>1087</v>
      </c>
      <c r="L169" s="33">
        <v>1</v>
      </c>
      <c r="M169" s="157" t="s">
        <v>1404</v>
      </c>
      <c r="N169" s="157"/>
      <c r="O169" s="157" t="s">
        <v>474</v>
      </c>
      <c r="P169" s="164" t="s">
        <v>1094</v>
      </c>
    </row>
    <row r="170" s="92" customFormat="1" ht="20.1" customHeight="1" spans="1:16">
      <c r="A170" s="157" t="s">
        <v>1405</v>
      </c>
      <c r="B170" s="266" t="s">
        <v>1406</v>
      </c>
      <c r="C170" s="267">
        <v>1</v>
      </c>
      <c r="D170" s="268">
        <f t="shared" si="19"/>
        <v>0</v>
      </c>
      <c r="E170" s="267"/>
      <c r="F170" s="267"/>
      <c r="G170" s="267"/>
      <c r="H170" s="267"/>
      <c r="I170" s="287"/>
      <c r="J170" s="288">
        <f t="shared" si="21"/>
        <v>-100</v>
      </c>
      <c r="K170" s="276" t="s">
        <v>1087</v>
      </c>
      <c r="L170" s="33">
        <v>1</v>
      </c>
      <c r="M170" s="157" t="s">
        <v>1405</v>
      </c>
      <c r="N170" s="157"/>
      <c r="O170" s="157" t="s">
        <v>474</v>
      </c>
      <c r="P170" s="164" t="s">
        <v>1407</v>
      </c>
    </row>
    <row r="171" s="92" customFormat="1" ht="20.1" customHeight="1" spans="1:16">
      <c r="A171" s="157" t="s">
        <v>1408</v>
      </c>
      <c r="B171" s="269" t="s">
        <v>1114</v>
      </c>
      <c r="C171" s="267"/>
      <c r="D171" s="268">
        <f t="shared" si="19"/>
        <v>0</v>
      </c>
      <c r="E171" s="267"/>
      <c r="F171" s="267"/>
      <c r="G171" s="267"/>
      <c r="H171" s="267"/>
      <c r="I171" s="287"/>
      <c r="J171" s="288">
        <f t="shared" si="21"/>
        <v>0</v>
      </c>
      <c r="K171" s="276" t="s">
        <v>1087</v>
      </c>
      <c r="L171" s="33">
        <v>1</v>
      </c>
      <c r="M171" s="157" t="s">
        <v>1408</v>
      </c>
      <c r="N171" s="157"/>
      <c r="O171" s="157" t="s">
        <v>474</v>
      </c>
      <c r="P171" s="164" t="s">
        <v>1115</v>
      </c>
    </row>
    <row r="172" s="92" customFormat="1" ht="20.1" customHeight="1" spans="1:16">
      <c r="A172" s="157" t="s">
        <v>1409</v>
      </c>
      <c r="B172" s="269" t="s">
        <v>1410</v>
      </c>
      <c r="C172" s="267">
        <v>87</v>
      </c>
      <c r="D172" s="268">
        <f t="shared" si="19"/>
        <v>76</v>
      </c>
      <c r="E172" s="267"/>
      <c r="F172" s="267"/>
      <c r="G172" s="267">
        <v>57</v>
      </c>
      <c r="H172" s="267"/>
      <c r="I172" s="287">
        <v>19</v>
      </c>
      <c r="J172" s="288">
        <f t="shared" si="21"/>
        <v>87.36</v>
      </c>
      <c r="K172" s="276" t="s">
        <v>1087</v>
      </c>
      <c r="L172" s="33">
        <v>1</v>
      </c>
      <c r="M172" s="157" t="s">
        <v>1409</v>
      </c>
      <c r="N172" s="157"/>
      <c r="O172" s="157" t="s">
        <v>474</v>
      </c>
      <c r="P172" s="163" t="s">
        <v>1411</v>
      </c>
    </row>
    <row r="173" s="93" customFormat="1" ht="18" customHeight="1" spans="1:16">
      <c r="A173" s="263" t="s">
        <v>475</v>
      </c>
      <c r="B173" s="264" t="s">
        <v>241</v>
      </c>
      <c r="C173" s="265">
        <f t="shared" ref="C173:I173" si="26">SUM(C174:C179)</f>
        <v>954</v>
      </c>
      <c r="D173" s="265">
        <f t="shared" si="19"/>
        <v>1955</v>
      </c>
      <c r="E173" s="265">
        <f t="shared" si="26"/>
        <v>0</v>
      </c>
      <c r="F173" s="265">
        <f t="shared" si="26"/>
        <v>47</v>
      </c>
      <c r="G173" s="265">
        <f t="shared" si="26"/>
        <v>656</v>
      </c>
      <c r="H173" s="265">
        <f t="shared" si="26"/>
        <v>0</v>
      </c>
      <c r="I173" s="265">
        <f t="shared" si="26"/>
        <v>1252</v>
      </c>
      <c r="J173" s="283">
        <f t="shared" si="21"/>
        <v>204.93</v>
      </c>
      <c r="K173" s="284" t="s">
        <v>1082</v>
      </c>
      <c r="L173" s="285"/>
      <c r="M173" s="263" t="s">
        <v>475</v>
      </c>
      <c r="N173" s="263" t="s">
        <v>455</v>
      </c>
      <c r="O173" s="263" t="s">
        <v>475</v>
      </c>
      <c r="P173" s="286" t="s">
        <v>1412</v>
      </c>
    </row>
    <row r="174" s="92" customFormat="1" ht="20.1" customHeight="1" spans="1:16">
      <c r="A174" s="157" t="s">
        <v>1413</v>
      </c>
      <c r="B174" s="266" t="s">
        <v>1086</v>
      </c>
      <c r="C174" s="267">
        <v>480</v>
      </c>
      <c r="D174" s="268">
        <f t="shared" si="19"/>
        <v>307</v>
      </c>
      <c r="E174" s="267"/>
      <c r="F174" s="267"/>
      <c r="G174" s="267"/>
      <c r="H174" s="267"/>
      <c r="I174" s="287">
        <v>307</v>
      </c>
      <c r="J174" s="288">
        <f t="shared" si="21"/>
        <v>63.96</v>
      </c>
      <c r="K174" s="276" t="s">
        <v>1087</v>
      </c>
      <c r="L174" s="33">
        <v>1</v>
      </c>
      <c r="M174" s="157" t="s">
        <v>1413</v>
      </c>
      <c r="N174" s="157"/>
      <c r="O174" s="157" t="s">
        <v>475</v>
      </c>
      <c r="P174" s="164" t="s">
        <v>1088</v>
      </c>
    </row>
    <row r="175" s="92" customFormat="1" ht="20.1" customHeight="1" spans="1:16">
      <c r="A175" s="157" t="s">
        <v>1414</v>
      </c>
      <c r="B175" s="266" t="s">
        <v>1090</v>
      </c>
      <c r="C175" s="267">
        <v>17</v>
      </c>
      <c r="D175" s="268">
        <f t="shared" si="19"/>
        <v>233</v>
      </c>
      <c r="E175" s="267"/>
      <c r="F175" s="267">
        <v>47</v>
      </c>
      <c r="G175" s="267">
        <v>53</v>
      </c>
      <c r="H175" s="267"/>
      <c r="I175" s="287">
        <v>133</v>
      </c>
      <c r="J175" s="288">
        <f t="shared" si="21"/>
        <v>1370.59</v>
      </c>
      <c r="K175" s="276" t="s">
        <v>1087</v>
      </c>
      <c r="L175" s="33">
        <v>1</v>
      </c>
      <c r="M175" s="157" t="s">
        <v>1414</v>
      </c>
      <c r="N175" s="157"/>
      <c r="O175" s="157" t="s">
        <v>475</v>
      </c>
      <c r="P175" s="164" t="s">
        <v>1091</v>
      </c>
    </row>
    <row r="176" s="92" customFormat="1" ht="20.1" customHeight="1" spans="1:16">
      <c r="A176" s="157" t="s">
        <v>1415</v>
      </c>
      <c r="B176" s="266" t="s">
        <v>1093</v>
      </c>
      <c r="C176" s="267"/>
      <c r="D176" s="268">
        <f t="shared" si="19"/>
        <v>0</v>
      </c>
      <c r="E176" s="267"/>
      <c r="F176" s="267"/>
      <c r="G176" s="267"/>
      <c r="H176" s="267"/>
      <c r="I176" s="287"/>
      <c r="J176" s="288">
        <f t="shared" si="21"/>
        <v>0</v>
      </c>
      <c r="K176" s="276" t="s">
        <v>1087</v>
      </c>
      <c r="L176" s="33">
        <v>1</v>
      </c>
      <c r="M176" s="157" t="s">
        <v>1415</v>
      </c>
      <c r="N176" s="157"/>
      <c r="O176" s="157" t="s">
        <v>475</v>
      </c>
      <c r="P176" s="164" t="s">
        <v>1094</v>
      </c>
    </row>
    <row r="177" s="92" customFormat="1" ht="20.1" customHeight="1" spans="1:16">
      <c r="A177" s="157" t="s">
        <v>1416</v>
      </c>
      <c r="B177" s="269" t="s">
        <v>1417</v>
      </c>
      <c r="C177" s="267"/>
      <c r="D177" s="268">
        <f t="shared" si="19"/>
        <v>0</v>
      </c>
      <c r="E177" s="267"/>
      <c r="F177" s="267"/>
      <c r="G177" s="267"/>
      <c r="H177" s="267"/>
      <c r="I177" s="287"/>
      <c r="J177" s="288">
        <f t="shared" si="21"/>
        <v>0</v>
      </c>
      <c r="K177" s="276" t="s">
        <v>1087</v>
      </c>
      <c r="L177" s="33">
        <v>1</v>
      </c>
      <c r="M177" s="157" t="s">
        <v>1416</v>
      </c>
      <c r="N177" s="157"/>
      <c r="O177" s="157" t="s">
        <v>475</v>
      </c>
      <c r="P177" s="164" t="s">
        <v>1418</v>
      </c>
    </row>
    <row r="178" s="92" customFormat="1" ht="20.1" customHeight="1" spans="1:16">
      <c r="A178" s="157" t="s">
        <v>1419</v>
      </c>
      <c r="B178" s="269" t="s">
        <v>1114</v>
      </c>
      <c r="C178" s="267">
        <v>23</v>
      </c>
      <c r="D178" s="268">
        <f t="shared" si="19"/>
        <v>17</v>
      </c>
      <c r="E178" s="267"/>
      <c r="F178" s="267"/>
      <c r="G178" s="267"/>
      <c r="H178" s="267"/>
      <c r="I178" s="287">
        <v>17</v>
      </c>
      <c r="J178" s="288">
        <f t="shared" si="21"/>
        <v>73.91</v>
      </c>
      <c r="K178" s="276" t="s">
        <v>1087</v>
      </c>
      <c r="L178" s="33">
        <v>1</v>
      </c>
      <c r="M178" s="157" t="s">
        <v>1419</v>
      </c>
      <c r="N178" s="157"/>
      <c r="O178" s="157" t="s">
        <v>475</v>
      </c>
      <c r="P178" s="164" t="s">
        <v>1115</v>
      </c>
    </row>
    <row r="179" s="92" customFormat="1" ht="20.1" customHeight="1" spans="1:16">
      <c r="A179" s="157" t="s">
        <v>1420</v>
      </c>
      <c r="B179" s="269" t="s">
        <v>1421</v>
      </c>
      <c r="C179" s="267">
        <v>434</v>
      </c>
      <c r="D179" s="268">
        <f t="shared" si="19"/>
        <v>1398</v>
      </c>
      <c r="E179" s="267"/>
      <c r="F179" s="267"/>
      <c r="G179" s="267">
        <v>603</v>
      </c>
      <c r="H179" s="267"/>
      <c r="I179" s="287">
        <v>795</v>
      </c>
      <c r="J179" s="288">
        <f t="shared" si="21"/>
        <v>322.12</v>
      </c>
      <c r="K179" s="276" t="s">
        <v>1087</v>
      </c>
      <c r="L179" s="33">
        <v>1</v>
      </c>
      <c r="M179" s="157" t="s">
        <v>1420</v>
      </c>
      <c r="N179" s="157"/>
      <c r="O179" s="157" t="s">
        <v>475</v>
      </c>
      <c r="P179" s="163" t="s">
        <v>1422</v>
      </c>
    </row>
    <row r="180" s="93" customFormat="1" ht="20.1" customHeight="1" spans="1:16">
      <c r="A180" s="263" t="s">
        <v>476</v>
      </c>
      <c r="B180" s="264" t="s">
        <v>242</v>
      </c>
      <c r="C180" s="265">
        <f t="shared" ref="C180:I180" si="27">SUM(C181:C186)</f>
        <v>195</v>
      </c>
      <c r="D180" s="265">
        <f t="shared" si="19"/>
        <v>156</v>
      </c>
      <c r="E180" s="265">
        <f t="shared" si="27"/>
        <v>0</v>
      </c>
      <c r="F180" s="265">
        <f t="shared" si="27"/>
        <v>0</v>
      </c>
      <c r="G180" s="265">
        <f t="shared" si="27"/>
        <v>0</v>
      </c>
      <c r="H180" s="265">
        <f t="shared" si="27"/>
        <v>0</v>
      </c>
      <c r="I180" s="265">
        <f t="shared" si="27"/>
        <v>156</v>
      </c>
      <c r="J180" s="283">
        <f t="shared" si="21"/>
        <v>80</v>
      </c>
      <c r="K180" s="284" t="s">
        <v>1082</v>
      </c>
      <c r="L180" s="285"/>
      <c r="M180" s="263" t="s">
        <v>476</v>
      </c>
      <c r="N180" s="263" t="s">
        <v>455</v>
      </c>
      <c r="O180" s="263" t="s">
        <v>476</v>
      </c>
      <c r="P180" s="286" t="s">
        <v>1423</v>
      </c>
    </row>
    <row r="181" s="92" customFormat="1" ht="20.1" customHeight="1" spans="1:16">
      <c r="A181" s="157" t="s">
        <v>1424</v>
      </c>
      <c r="B181" s="36" t="s">
        <v>1086</v>
      </c>
      <c r="C181" s="267">
        <v>160</v>
      </c>
      <c r="D181" s="268">
        <f t="shared" si="19"/>
        <v>117</v>
      </c>
      <c r="E181" s="267"/>
      <c r="F181" s="267"/>
      <c r="G181" s="267"/>
      <c r="H181" s="267"/>
      <c r="I181" s="287">
        <v>117</v>
      </c>
      <c r="J181" s="288">
        <f t="shared" si="21"/>
        <v>73.13</v>
      </c>
      <c r="K181" s="276" t="s">
        <v>1087</v>
      </c>
      <c r="L181" s="33">
        <v>1</v>
      </c>
      <c r="M181" s="157" t="s">
        <v>1424</v>
      </c>
      <c r="N181" s="157"/>
      <c r="O181" s="157" t="s">
        <v>476</v>
      </c>
      <c r="P181" s="164" t="s">
        <v>1088</v>
      </c>
    </row>
    <row r="182" s="92" customFormat="1" ht="20.1" customHeight="1" spans="1:16">
      <c r="A182" s="157" t="s">
        <v>1425</v>
      </c>
      <c r="B182" s="266" t="s">
        <v>1090</v>
      </c>
      <c r="C182" s="267">
        <v>3</v>
      </c>
      <c r="D182" s="268">
        <f t="shared" si="19"/>
        <v>30</v>
      </c>
      <c r="E182" s="267"/>
      <c r="F182" s="267"/>
      <c r="G182" s="267"/>
      <c r="H182" s="267"/>
      <c r="I182" s="287">
        <v>30</v>
      </c>
      <c r="J182" s="288">
        <f t="shared" si="21"/>
        <v>1000</v>
      </c>
      <c r="K182" s="276" t="s">
        <v>1087</v>
      </c>
      <c r="L182" s="33">
        <v>1</v>
      </c>
      <c r="M182" s="157" t="s">
        <v>1425</v>
      </c>
      <c r="N182" s="157"/>
      <c r="O182" s="157" t="s">
        <v>476</v>
      </c>
      <c r="P182" s="164" t="s">
        <v>1091</v>
      </c>
    </row>
    <row r="183" s="92" customFormat="1" ht="20.1" customHeight="1" spans="1:16">
      <c r="A183" s="157" t="s">
        <v>1426</v>
      </c>
      <c r="B183" s="266" t="s">
        <v>1093</v>
      </c>
      <c r="C183" s="267"/>
      <c r="D183" s="268">
        <f t="shared" si="19"/>
        <v>0</v>
      </c>
      <c r="E183" s="267"/>
      <c r="F183" s="267"/>
      <c r="G183" s="267"/>
      <c r="H183" s="267"/>
      <c r="I183" s="287"/>
      <c r="J183" s="288">
        <f t="shared" si="21"/>
        <v>0</v>
      </c>
      <c r="K183" s="276" t="s">
        <v>1087</v>
      </c>
      <c r="L183" s="33">
        <v>1</v>
      </c>
      <c r="M183" s="157" t="s">
        <v>1426</v>
      </c>
      <c r="N183" s="157"/>
      <c r="O183" s="157" t="s">
        <v>476</v>
      </c>
      <c r="P183" s="164" t="s">
        <v>1094</v>
      </c>
    </row>
    <row r="184" s="92" customFormat="1" ht="20.1" customHeight="1" spans="1:16">
      <c r="A184" s="157" t="s">
        <v>1427</v>
      </c>
      <c r="B184" s="266" t="s">
        <v>1428</v>
      </c>
      <c r="C184" s="267"/>
      <c r="D184" s="268">
        <f t="shared" si="19"/>
        <v>0</v>
      </c>
      <c r="E184" s="267"/>
      <c r="F184" s="267"/>
      <c r="G184" s="267"/>
      <c r="H184" s="267"/>
      <c r="I184" s="287"/>
      <c r="J184" s="288"/>
      <c r="K184" s="276" t="s">
        <v>1087</v>
      </c>
      <c r="L184" s="33">
        <v>1</v>
      </c>
      <c r="M184" s="157" t="s">
        <v>1427</v>
      </c>
      <c r="N184" s="157"/>
      <c r="O184" s="157" t="s">
        <v>476</v>
      </c>
      <c r="P184" s="164" t="s">
        <v>1429</v>
      </c>
    </row>
    <row r="185" s="92" customFormat="1" ht="20.1" customHeight="1" spans="1:16">
      <c r="A185" s="157" t="s">
        <v>1430</v>
      </c>
      <c r="B185" s="266" t="s">
        <v>1114</v>
      </c>
      <c r="C185" s="267"/>
      <c r="D185" s="268">
        <f t="shared" si="19"/>
        <v>0</v>
      </c>
      <c r="E185" s="267"/>
      <c r="F185" s="267"/>
      <c r="G185" s="267"/>
      <c r="H185" s="267"/>
      <c r="I185" s="287"/>
      <c r="J185" s="288">
        <f t="shared" ref="J185:J210" si="28">ROUND(IF(C185=0,IF(D185=0,0,1),IF(D185=0,-1,D185/C185)),4)*100</f>
        <v>0</v>
      </c>
      <c r="K185" s="276" t="s">
        <v>1087</v>
      </c>
      <c r="L185" s="33">
        <v>1</v>
      </c>
      <c r="M185" s="157" t="s">
        <v>1430</v>
      </c>
      <c r="N185" s="157"/>
      <c r="O185" s="157" t="s">
        <v>476</v>
      </c>
      <c r="P185" s="164" t="s">
        <v>1115</v>
      </c>
    </row>
    <row r="186" s="92" customFormat="1" ht="20.1" customHeight="1" spans="1:16">
      <c r="A186" s="157" t="s">
        <v>1431</v>
      </c>
      <c r="B186" s="269" t="s">
        <v>1432</v>
      </c>
      <c r="C186" s="267">
        <v>32</v>
      </c>
      <c r="D186" s="268">
        <f t="shared" si="19"/>
        <v>9</v>
      </c>
      <c r="E186" s="267"/>
      <c r="F186" s="267"/>
      <c r="G186" s="267"/>
      <c r="H186" s="267"/>
      <c r="I186" s="287">
        <v>9</v>
      </c>
      <c r="J186" s="288">
        <f t="shared" si="28"/>
        <v>28.13</v>
      </c>
      <c r="K186" s="276" t="s">
        <v>1087</v>
      </c>
      <c r="L186" s="33">
        <v>1</v>
      </c>
      <c r="M186" s="157" t="s">
        <v>1431</v>
      </c>
      <c r="N186" s="157"/>
      <c r="O186" s="157" t="s">
        <v>476</v>
      </c>
      <c r="P186" s="163" t="s">
        <v>1433</v>
      </c>
    </row>
    <row r="187" s="93" customFormat="1" ht="20.1" customHeight="1" spans="1:16">
      <c r="A187" s="263" t="s">
        <v>477</v>
      </c>
      <c r="B187" s="264" t="s">
        <v>243</v>
      </c>
      <c r="C187" s="265">
        <f t="shared" ref="C187:I187" si="29">SUM(C188:C194)</f>
        <v>256</v>
      </c>
      <c r="D187" s="265">
        <f t="shared" si="19"/>
        <v>251</v>
      </c>
      <c r="E187" s="265">
        <f t="shared" si="29"/>
        <v>0</v>
      </c>
      <c r="F187" s="265">
        <f t="shared" si="29"/>
        <v>0</v>
      </c>
      <c r="G187" s="265">
        <f t="shared" si="29"/>
        <v>6</v>
      </c>
      <c r="H187" s="265">
        <f t="shared" si="29"/>
        <v>0</v>
      </c>
      <c r="I187" s="265">
        <f t="shared" si="29"/>
        <v>245</v>
      </c>
      <c r="J187" s="283">
        <f t="shared" si="28"/>
        <v>98.05</v>
      </c>
      <c r="K187" s="284" t="s">
        <v>1082</v>
      </c>
      <c r="L187" s="285"/>
      <c r="M187" s="263" t="s">
        <v>477</v>
      </c>
      <c r="N187" s="263" t="s">
        <v>455</v>
      </c>
      <c r="O187" s="263" t="s">
        <v>477</v>
      </c>
      <c r="P187" s="286" t="s">
        <v>1434</v>
      </c>
    </row>
    <row r="188" s="92" customFormat="1" ht="20.1" customHeight="1" spans="1:16">
      <c r="A188" s="157" t="s">
        <v>1435</v>
      </c>
      <c r="B188" s="269" t="s">
        <v>1086</v>
      </c>
      <c r="C188" s="267">
        <v>256</v>
      </c>
      <c r="D188" s="268">
        <f t="shared" si="19"/>
        <v>242</v>
      </c>
      <c r="E188" s="267"/>
      <c r="F188" s="267"/>
      <c r="G188" s="267"/>
      <c r="H188" s="267"/>
      <c r="I188" s="287">
        <v>242</v>
      </c>
      <c r="J188" s="288">
        <f t="shared" si="28"/>
        <v>94.53</v>
      </c>
      <c r="K188" s="276" t="s">
        <v>1087</v>
      </c>
      <c r="L188" s="33">
        <v>1</v>
      </c>
      <c r="M188" s="157" t="s">
        <v>1435</v>
      </c>
      <c r="N188" s="157"/>
      <c r="O188" s="157" t="s">
        <v>477</v>
      </c>
      <c r="P188" s="164" t="s">
        <v>1088</v>
      </c>
    </row>
    <row r="189" s="92" customFormat="1" ht="20.1" customHeight="1" spans="1:16">
      <c r="A189" s="157" t="s">
        <v>1436</v>
      </c>
      <c r="B189" s="266" t="s">
        <v>1090</v>
      </c>
      <c r="C189" s="267">
        <v>0</v>
      </c>
      <c r="D189" s="268">
        <f t="shared" si="19"/>
        <v>0</v>
      </c>
      <c r="E189" s="267"/>
      <c r="F189" s="267"/>
      <c r="G189" s="267"/>
      <c r="H189" s="267"/>
      <c r="I189" s="287"/>
      <c r="J189" s="288">
        <f t="shared" si="28"/>
        <v>0</v>
      </c>
      <c r="K189" s="276" t="s">
        <v>1087</v>
      </c>
      <c r="L189" s="33">
        <v>1</v>
      </c>
      <c r="M189" s="157" t="s">
        <v>1436</v>
      </c>
      <c r="N189" s="157"/>
      <c r="O189" s="157" t="s">
        <v>477</v>
      </c>
      <c r="P189" s="164" t="s">
        <v>1091</v>
      </c>
    </row>
    <row r="190" s="92" customFormat="1" ht="20.1" customHeight="1" spans="1:16">
      <c r="A190" s="157" t="s">
        <v>1437</v>
      </c>
      <c r="B190" s="266" t="s">
        <v>1093</v>
      </c>
      <c r="C190" s="267">
        <v>0</v>
      </c>
      <c r="D190" s="268">
        <f t="shared" si="19"/>
        <v>0</v>
      </c>
      <c r="E190" s="267"/>
      <c r="F190" s="267"/>
      <c r="G190" s="267"/>
      <c r="H190" s="267"/>
      <c r="I190" s="287"/>
      <c r="J190" s="288">
        <f t="shared" si="28"/>
        <v>0</v>
      </c>
      <c r="K190" s="276" t="s">
        <v>1087</v>
      </c>
      <c r="L190" s="33">
        <v>1</v>
      </c>
      <c r="M190" s="157" t="s">
        <v>1437</v>
      </c>
      <c r="N190" s="157"/>
      <c r="O190" s="157" t="s">
        <v>477</v>
      </c>
      <c r="P190" s="164" t="s">
        <v>1094</v>
      </c>
    </row>
    <row r="191" s="92" customFormat="1" ht="20.1" customHeight="1" spans="1:16">
      <c r="A191" s="157" t="s">
        <v>1438</v>
      </c>
      <c r="B191" s="266" t="s">
        <v>1439</v>
      </c>
      <c r="C191" s="267">
        <v>0</v>
      </c>
      <c r="D191" s="268">
        <f t="shared" si="19"/>
        <v>5</v>
      </c>
      <c r="E191" s="267"/>
      <c r="F191" s="267"/>
      <c r="G191" s="267">
        <v>5</v>
      </c>
      <c r="H191" s="267"/>
      <c r="I191" s="287"/>
      <c r="J191" s="288">
        <f t="shared" si="28"/>
        <v>100</v>
      </c>
      <c r="K191" s="276" t="s">
        <v>1087</v>
      </c>
      <c r="L191" s="33">
        <v>1</v>
      </c>
      <c r="M191" s="157" t="s">
        <v>1438</v>
      </c>
      <c r="N191" s="157"/>
      <c r="O191" s="157" t="s">
        <v>477</v>
      </c>
      <c r="P191" s="164" t="s">
        <v>1440</v>
      </c>
    </row>
    <row r="192" s="92" customFormat="1" ht="20.1" customHeight="1" spans="1:16">
      <c r="A192" s="157" t="s">
        <v>1441</v>
      </c>
      <c r="B192" s="266" t="s">
        <v>1442</v>
      </c>
      <c r="C192" s="267">
        <v>0</v>
      </c>
      <c r="D192" s="268">
        <f t="shared" si="19"/>
        <v>1</v>
      </c>
      <c r="E192" s="267"/>
      <c r="F192" s="267"/>
      <c r="G192" s="267">
        <v>1</v>
      </c>
      <c r="H192" s="267"/>
      <c r="I192" s="287"/>
      <c r="J192" s="288">
        <f t="shared" si="28"/>
        <v>100</v>
      </c>
      <c r="K192" s="276" t="s">
        <v>1087</v>
      </c>
      <c r="L192" s="33">
        <v>1</v>
      </c>
      <c r="M192" s="157" t="s">
        <v>1441</v>
      </c>
      <c r="N192" s="157"/>
      <c r="O192" s="157" t="s">
        <v>477</v>
      </c>
      <c r="P192" s="164" t="s">
        <v>1443</v>
      </c>
    </row>
    <row r="193" s="92" customFormat="1" ht="20.1" customHeight="1" spans="1:16">
      <c r="A193" s="157" t="s">
        <v>1444</v>
      </c>
      <c r="B193" s="266" t="s">
        <v>1114</v>
      </c>
      <c r="C193" s="267">
        <v>0</v>
      </c>
      <c r="D193" s="268">
        <f t="shared" si="19"/>
        <v>0</v>
      </c>
      <c r="E193" s="267"/>
      <c r="F193" s="267"/>
      <c r="G193" s="267"/>
      <c r="H193" s="267"/>
      <c r="I193" s="287"/>
      <c r="J193" s="288">
        <f t="shared" si="28"/>
        <v>0</v>
      </c>
      <c r="K193" s="276" t="s">
        <v>1087</v>
      </c>
      <c r="L193" s="33">
        <v>1</v>
      </c>
      <c r="M193" s="157" t="s">
        <v>1444</v>
      </c>
      <c r="N193" s="157"/>
      <c r="O193" s="157" t="s">
        <v>477</v>
      </c>
      <c r="P193" s="164" t="s">
        <v>1115</v>
      </c>
    </row>
    <row r="194" s="92" customFormat="1" ht="20.1" customHeight="1" spans="1:16">
      <c r="A194" s="157" t="s">
        <v>1445</v>
      </c>
      <c r="B194" s="269" t="s">
        <v>1446</v>
      </c>
      <c r="C194" s="267"/>
      <c r="D194" s="268">
        <f t="shared" si="19"/>
        <v>3</v>
      </c>
      <c r="E194" s="267"/>
      <c r="F194" s="267"/>
      <c r="G194" s="267"/>
      <c r="H194" s="267"/>
      <c r="I194" s="287">
        <v>3</v>
      </c>
      <c r="J194" s="288">
        <f t="shared" si="28"/>
        <v>100</v>
      </c>
      <c r="K194" s="276" t="s">
        <v>1087</v>
      </c>
      <c r="L194" s="33">
        <v>1</v>
      </c>
      <c r="M194" s="157" t="s">
        <v>1445</v>
      </c>
      <c r="N194" s="157"/>
      <c r="O194" s="157" t="s">
        <v>477</v>
      </c>
      <c r="P194" s="163" t="s">
        <v>1447</v>
      </c>
    </row>
    <row r="195" s="93" customFormat="1" ht="20.1" customHeight="1" spans="1:16">
      <c r="A195" s="263" t="s">
        <v>478</v>
      </c>
      <c r="B195" s="264" t="s">
        <v>244</v>
      </c>
      <c r="C195" s="265">
        <v>0</v>
      </c>
      <c r="D195" s="265">
        <f t="shared" si="19"/>
        <v>0</v>
      </c>
      <c r="E195" s="265">
        <f t="shared" ref="E195:H195" si="30">SUM(E196:E200)</f>
        <v>0</v>
      </c>
      <c r="F195" s="265">
        <f t="shared" si="30"/>
        <v>0</v>
      </c>
      <c r="G195" s="265">
        <f>VLOOKUP(A195,[1]√表四、2024年公共财政支出变动表!$A$7:$R$214,18,FALSE)</f>
        <v>0</v>
      </c>
      <c r="H195" s="265">
        <f t="shared" si="30"/>
        <v>0</v>
      </c>
      <c r="I195" s="265"/>
      <c r="J195" s="283">
        <f t="shared" si="28"/>
        <v>0</v>
      </c>
      <c r="K195" s="284" t="s">
        <v>1082</v>
      </c>
      <c r="L195" s="285"/>
      <c r="M195" s="263" t="s">
        <v>478</v>
      </c>
      <c r="N195" s="263" t="s">
        <v>455</v>
      </c>
      <c r="O195" s="263" t="s">
        <v>478</v>
      </c>
      <c r="P195" s="286" t="s">
        <v>1448</v>
      </c>
    </row>
    <row r="196" s="92" customFormat="1" ht="20.1" customHeight="1" spans="1:16">
      <c r="A196" s="157" t="s">
        <v>1449</v>
      </c>
      <c r="B196" s="269" t="s">
        <v>1086</v>
      </c>
      <c r="C196" s="267">
        <v>0</v>
      </c>
      <c r="D196" s="268">
        <f t="shared" ref="D196:D240" si="31">SUM(E196:I196)</f>
        <v>0</v>
      </c>
      <c r="E196" s="267"/>
      <c r="F196" s="267"/>
      <c r="G196" s="267"/>
      <c r="H196" s="267"/>
      <c r="I196" s="287"/>
      <c r="J196" s="288">
        <f t="shared" si="28"/>
        <v>0</v>
      </c>
      <c r="K196" s="276" t="s">
        <v>1087</v>
      </c>
      <c r="L196" s="33">
        <v>1</v>
      </c>
      <c r="M196" s="157" t="s">
        <v>1449</v>
      </c>
      <c r="N196" s="157"/>
      <c r="O196" s="157" t="s">
        <v>478</v>
      </c>
      <c r="P196" s="164" t="s">
        <v>1088</v>
      </c>
    </row>
    <row r="197" s="92" customFormat="1" ht="20.1" customHeight="1" spans="1:16">
      <c r="A197" s="157" t="s">
        <v>1450</v>
      </c>
      <c r="B197" s="36" t="s">
        <v>1090</v>
      </c>
      <c r="C197" s="267">
        <v>0</v>
      </c>
      <c r="D197" s="268">
        <f t="shared" si="31"/>
        <v>0</v>
      </c>
      <c r="E197" s="267"/>
      <c r="F197" s="267"/>
      <c r="G197" s="267"/>
      <c r="H197" s="267"/>
      <c r="I197" s="287"/>
      <c r="J197" s="288">
        <f t="shared" si="28"/>
        <v>0</v>
      </c>
      <c r="K197" s="276" t="s">
        <v>1087</v>
      </c>
      <c r="L197" s="33">
        <v>1</v>
      </c>
      <c r="M197" s="157" t="s">
        <v>1450</v>
      </c>
      <c r="N197" s="157"/>
      <c r="O197" s="157" t="s">
        <v>478</v>
      </c>
      <c r="P197" s="164" t="s">
        <v>1091</v>
      </c>
    </row>
    <row r="198" s="92" customFormat="1" ht="20.1" customHeight="1" spans="1:16">
      <c r="A198" s="157" t="s">
        <v>1451</v>
      </c>
      <c r="B198" s="266" t="s">
        <v>1093</v>
      </c>
      <c r="C198" s="267">
        <v>0</v>
      </c>
      <c r="D198" s="268">
        <f t="shared" si="31"/>
        <v>0</v>
      </c>
      <c r="E198" s="267"/>
      <c r="F198" s="267"/>
      <c r="G198" s="267"/>
      <c r="H198" s="267"/>
      <c r="I198" s="287"/>
      <c r="J198" s="288">
        <f t="shared" si="28"/>
        <v>0</v>
      </c>
      <c r="K198" s="276" t="s">
        <v>1087</v>
      </c>
      <c r="L198" s="33">
        <v>1</v>
      </c>
      <c r="M198" s="157" t="s">
        <v>1451</v>
      </c>
      <c r="N198" s="157"/>
      <c r="O198" s="157" t="s">
        <v>478</v>
      </c>
      <c r="P198" s="164" t="s">
        <v>1094</v>
      </c>
    </row>
    <row r="199" s="92" customFormat="1" ht="20.1" customHeight="1" spans="1:16">
      <c r="A199" s="157" t="s">
        <v>1452</v>
      </c>
      <c r="B199" s="266" t="s">
        <v>1114</v>
      </c>
      <c r="C199" s="267">
        <v>0</v>
      </c>
      <c r="D199" s="268">
        <f t="shared" si="31"/>
        <v>0</v>
      </c>
      <c r="E199" s="267"/>
      <c r="F199" s="267"/>
      <c r="G199" s="267"/>
      <c r="H199" s="267"/>
      <c r="I199" s="287"/>
      <c r="J199" s="288">
        <f t="shared" si="28"/>
        <v>0</v>
      </c>
      <c r="K199" s="276" t="s">
        <v>1087</v>
      </c>
      <c r="L199" s="33">
        <v>1</v>
      </c>
      <c r="M199" s="157" t="s">
        <v>1452</v>
      </c>
      <c r="N199" s="157"/>
      <c r="O199" s="157" t="s">
        <v>478</v>
      </c>
      <c r="P199" s="164" t="s">
        <v>1115</v>
      </c>
    </row>
    <row r="200" s="92" customFormat="1" ht="20.1" customHeight="1" spans="1:16">
      <c r="A200" s="157" t="s">
        <v>1453</v>
      </c>
      <c r="B200" s="266" t="s">
        <v>1454</v>
      </c>
      <c r="C200" s="267">
        <v>0</v>
      </c>
      <c r="D200" s="268">
        <f t="shared" si="31"/>
        <v>0</v>
      </c>
      <c r="E200" s="267"/>
      <c r="F200" s="267"/>
      <c r="G200" s="267"/>
      <c r="H200" s="267"/>
      <c r="I200" s="287"/>
      <c r="J200" s="288">
        <f t="shared" si="28"/>
        <v>0</v>
      </c>
      <c r="K200" s="276" t="s">
        <v>1087</v>
      </c>
      <c r="L200" s="33">
        <v>1</v>
      </c>
      <c r="M200" s="157" t="s">
        <v>1453</v>
      </c>
      <c r="N200" s="157"/>
      <c r="O200" s="157" t="s">
        <v>478</v>
      </c>
      <c r="P200" s="163" t="s">
        <v>1455</v>
      </c>
    </row>
    <row r="201" s="93" customFormat="1" ht="20.1" customHeight="1" spans="1:16">
      <c r="A201" s="263" t="s">
        <v>479</v>
      </c>
      <c r="B201" s="264" t="s">
        <v>245</v>
      </c>
      <c r="C201" s="265">
        <f t="shared" ref="C201:I201" si="32">SUM(C202:C206)</f>
        <v>427</v>
      </c>
      <c r="D201" s="265">
        <f t="shared" si="31"/>
        <v>447</v>
      </c>
      <c r="E201" s="265">
        <f t="shared" si="32"/>
        <v>0</v>
      </c>
      <c r="F201" s="265">
        <f t="shared" si="32"/>
        <v>0</v>
      </c>
      <c r="G201" s="265">
        <f t="shared" si="32"/>
        <v>0</v>
      </c>
      <c r="H201" s="265">
        <f t="shared" si="32"/>
        <v>0</v>
      </c>
      <c r="I201" s="265">
        <f t="shared" si="32"/>
        <v>447</v>
      </c>
      <c r="J201" s="283">
        <f t="shared" si="28"/>
        <v>104.68</v>
      </c>
      <c r="K201" s="284" t="s">
        <v>1082</v>
      </c>
      <c r="L201" s="285"/>
      <c r="M201" s="263" t="s">
        <v>479</v>
      </c>
      <c r="N201" s="263" t="s">
        <v>455</v>
      </c>
      <c r="O201" s="263" t="s">
        <v>479</v>
      </c>
      <c r="P201" s="286" t="s">
        <v>1456</v>
      </c>
    </row>
    <row r="202" s="92" customFormat="1" ht="20.1" customHeight="1" spans="1:16">
      <c r="A202" s="157" t="s">
        <v>1457</v>
      </c>
      <c r="B202" s="269" t="s">
        <v>1086</v>
      </c>
      <c r="C202" s="267">
        <v>426</v>
      </c>
      <c r="D202" s="268">
        <f t="shared" si="31"/>
        <v>427</v>
      </c>
      <c r="E202" s="267"/>
      <c r="F202" s="267"/>
      <c r="G202" s="267"/>
      <c r="H202" s="267"/>
      <c r="I202" s="287">
        <v>427</v>
      </c>
      <c r="J202" s="288">
        <f t="shared" si="28"/>
        <v>100.23</v>
      </c>
      <c r="K202" s="276" t="s">
        <v>1087</v>
      </c>
      <c r="L202" s="33">
        <v>1</v>
      </c>
      <c r="M202" s="157" t="s">
        <v>1457</v>
      </c>
      <c r="N202" s="157"/>
      <c r="O202" s="157" t="s">
        <v>479</v>
      </c>
      <c r="P202" s="164" t="s">
        <v>1088</v>
      </c>
    </row>
    <row r="203" s="92" customFormat="1" ht="20.1" customHeight="1" spans="1:16">
      <c r="A203" s="157" t="s">
        <v>1458</v>
      </c>
      <c r="B203" s="269" t="s">
        <v>1090</v>
      </c>
      <c r="C203" s="267"/>
      <c r="D203" s="268">
        <f t="shared" si="31"/>
        <v>0</v>
      </c>
      <c r="E203" s="267"/>
      <c r="F203" s="267"/>
      <c r="G203" s="267"/>
      <c r="H203" s="267"/>
      <c r="I203" s="287"/>
      <c r="J203" s="288">
        <f t="shared" si="28"/>
        <v>0</v>
      </c>
      <c r="K203" s="276" t="s">
        <v>1087</v>
      </c>
      <c r="L203" s="33">
        <v>1</v>
      </c>
      <c r="M203" s="157" t="s">
        <v>1458</v>
      </c>
      <c r="N203" s="157"/>
      <c r="O203" s="157" t="s">
        <v>479</v>
      </c>
      <c r="P203" s="164" t="s">
        <v>1091</v>
      </c>
    </row>
    <row r="204" s="92" customFormat="1" ht="20.1" customHeight="1" spans="1:16">
      <c r="A204" s="157" t="s">
        <v>1459</v>
      </c>
      <c r="B204" s="266" t="s">
        <v>1093</v>
      </c>
      <c r="C204" s="267"/>
      <c r="D204" s="268">
        <f t="shared" si="31"/>
        <v>0</v>
      </c>
      <c r="E204" s="267"/>
      <c r="F204" s="267"/>
      <c r="G204" s="267"/>
      <c r="H204" s="267"/>
      <c r="I204" s="287"/>
      <c r="J204" s="288">
        <f t="shared" si="28"/>
        <v>0</v>
      </c>
      <c r="K204" s="276" t="s">
        <v>1087</v>
      </c>
      <c r="L204" s="33">
        <v>1</v>
      </c>
      <c r="M204" s="157" t="s">
        <v>1459</v>
      </c>
      <c r="N204" s="157"/>
      <c r="O204" s="157" t="s">
        <v>479</v>
      </c>
      <c r="P204" s="164" t="s">
        <v>1094</v>
      </c>
    </row>
    <row r="205" s="92" customFormat="1" ht="20.1" customHeight="1" spans="1:16">
      <c r="A205" s="157" t="s">
        <v>1460</v>
      </c>
      <c r="B205" s="266" t="s">
        <v>1114</v>
      </c>
      <c r="C205" s="267"/>
      <c r="D205" s="268">
        <f t="shared" si="31"/>
        <v>0</v>
      </c>
      <c r="E205" s="267"/>
      <c r="F205" s="267"/>
      <c r="G205" s="267"/>
      <c r="H205" s="267"/>
      <c r="I205" s="287"/>
      <c r="J205" s="288">
        <f t="shared" si="28"/>
        <v>0</v>
      </c>
      <c r="K205" s="276" t="s">
        <v>1087</v>
      </c>
      <c r="L205" s="33">
        <v>1</v>
      </c>
      <c r="M205" s="157" t="s">
        <v>1460</v>
      </c>
      <c r="N205" s="157"/>
      <c r="O205" s="157" t="s">
        <v>479</v>
      </c>
      <c r="P205" s="164" t="s">
        <v>1115</v>
      </c>
    </row>
    <row r="206" s="92" customFormat="1" ht="20.1" customHeight="1" spans="1:16">
      <c r="A206" s="157" t="s">
        <v>1461</v>
      </c>
      <c r="B206" s="266" t="s">
        <v>1462</v>
      </c>
      <c r="C206" s="267">
        <v>1</v>
      </c>
      <c r="D206" s="268">
        <f t="shared" si="31"/>
        <v>20</v>
      </c>
      <c r="E206" s="267"/>
      <c r="F206" s="267"/>
      <c r="G206" s="267"/>
      <c r="H206" s="267"/>
      <c r="I206" s="287">
        <v>20</v>
      </c>
      <c r="J206" s="288">
        <f t="shared" si="28"/>
        <v>2000</v>
      </c>
      <c r="K206" s="276" t="s">
        <v>1087</v>
      </c>
      <c r="L206" s="33">
        <v>1</v>
      </c>
      <c r="M206" s="157" t="s">
        <v>1461</v>
      </c>
      <c r="N206" s="157"/>
      <c r="O206" s="157" t="s">
        <v>479</v>
      </c>
      <c r="P206" s="164" t="s">
        <v>1456</v>
      </c>
    </row>
    <row r="207" s="93" customFormat="1" ht="20.1" customHeight="1" spans="1:16">
      <c r="A207" s="263" t="s">
        <v>480</v>
      </c>
      <c r="B207" s="264" t="s">
        <v>246</v>
      </c>
      <c r="C207" s="265">
        <f t="shared" ref="C207:I207" si="33">SUM(C208:C213)</f>
        <v>0</v>
      </c>
      <c r="D207" s="265">
        <f t="shared" si="31"/>
        <v>0</v>
      </c>
      <c r="E207" s="265">
        <f t="shared" si="33"/>
        <v>0</v>
      </c>
      <c r="F207" s="265">
        <f t="shared" si="33"/>
        <v>0</v>
      </c>
      <c r="G207" s="265">
        <f t="shared" si="33"/>
        <v>0</v>
      </c>
      <c r="H207" s="265">
        <f t="shared" si="33"/>
        <v>0</v>
      </c>
      <c r="I207" s="265">
        <f t="shared" si="33"/>
        <v>0</v>
      </c>
      <c r="J207" s="283">
        <f t="shared" si="28"/>
        <v>0</v>
      </c>
      <c r="K207" s="284" t="s">
        <v>1082</v>
      </c>
      <c r="L207" s="285"/>
      <c r="M207" s="263" t="s">
        <v>480</v>
      </c>
      <c r="N207" s="263" t="s">
        <v>455</v>
      </c>
      <c r="O207" s="263" t="s">
        <v>480</v>
      </c>
      <c r="P207" s="286" t="s">
        <v>1463</v>
      </c>
    </row>
    <row r="208" s="92" customFormat="1" ht="20.1" customHeight="1" spans="1:16">
      <c r="A208" s="157" t="s">
        <v>1464</v>
      </c>
      <c r="B208" s="269" t="s">
        <v>1086</v>
      </c>
      <c r="C208" s="267">
        <v>0</v>
      </c>
      <c r="D208" s="268">
        <f t="shared" si="31"/>
        <v>0</v>
      </c>
      <c r="E208" s="267"/>
      <c r="F208" s="267"/>
      <c r="G208" s="267"/>
      <c r="H208" s="267"/>
      <c r="I208" s="287"/>
      <c r="J208" s="288">
        <f t="shared" si="28"/>
        <v>0</v>
      </c>
      <c r="K208" s="276" t="s">
        <v>1087</v>
      </c>
      <c r="L208" s="33">
        <v>1</v>
      </c>
      <c r="M208" s="157" t="s">
        <v>1464</v>
      </c>
      <c r="N208" s="157"/>
      <c r="O208" s="157" t="s">
        <v>480</v>
      </c>
      <c r="P208" s="164" t="s">
        <v>1088</v>
      </c>
    </row>
    <row r="209" s="92" customFormat="1" ht="20.1" customHeight="1" spans="1:16">
      <c r="A209" s="157" t="s">
        <v>1465</v>
      </c>
      <c r="B209" s="269" t="s">
        <v>1090</v>
      </c>
      <c r="C209" s="267">
        <v>0</v>
      </c>
      <c r="D209" s="268">
        <f t="shared" si="31"/>
        <v>0</v>
      </c>
      <c r="E209" s="267"/>
      <c r="F209" s="267"/>
      <c r="G209" s="267"/>
      <c r="H209" s="267"/>
      <c r="I209" s="287"/>
      <c r="J209" s="288">
        <f t="shared" si="28"/>
        <v>0</v>
      </c>
      <c r="K209" s="276" t="s">
        <v>1087</v>
      </c>
      <c r="L209" s="33">
        <v>1</v>
      </c>
      <c r="M209" s="157" t="s">
        <v>1465</v>
      </c>
      <c r="N209" s="157"/>
      <c r="O209" s="157" t="s">
        <v>480</v>
      </c>
      <c r="P209" s="164" t="s">
        <v>1091</v>
      </c>
    </row>
    <row r="210" s="92" customFormat="1" ht="20.1" customHeight="1" spans="1:16">
      <c r="A210" s="157" t="s">
        <v>1466</v>
      </c>
      <c r="B210" s="266" t="s">
        <v>1093</v>
      </c>
      <c r="C210" s="267">
        <v>0</v>
      </c>
      <c r="D210" s="268">
        <f t="shared" si="31"/>
        <v>0</v>
      </c>
      <c r="E210" s="267"/>
      <c r="F210" s="267"/>
      <c r="G210" s="267"/>
      <c r="H210" s="267"/>
      <c r="I210" s="287"/>
      <c r="J210" s="288">
        <f t="shared" si="28"/>
        <v>0</v>
      </c>
      <c r="K210" s="276" t="s">
        <v>1087</v>
      </c>
      <c r="L210" s="33">
        <v>1</v>
      </c>
      <c r="M210" s="157" t="s">
        <v>1466</v>
      </c>
      <c r="N210" s="157"/>
      <c r="O210" s="157" t="s">
        <v>480</v>
      </c>
      <c r="P210" s="164" t="s">
        <v>1094</v>
      </c>
    </row>
    <row r="211" s="92" customFormat="1" ht="20.1" customHeight="1" spans="1:16">
      <c r="A211" s="157" t="s">
        <v>1467</v>
      </c>
      <c r="B211" s="266" t="s">
        <v>1468</v>
      </c>
      <c r="C211" s="267"/>
      <c r="D211" s="268">
        <f t="shared" si="31"/>
        <v>0</v>
      </c>
      <c r="E211" s="267"/>
      <c r="F211" s="267"/>
      <c r="G211" s="267"/>
      <c r="H211" s="267"/>
      <c r="I211" s="287"/>
      <c r="J211" s="288"/>
      <c r="K211" s="276" t="s">
        <v>1087</v>
      </c>
      <c r="L211" s="33">
        <v>1</v>
      </c>
      <c r="M211" s="157" t="s">
        <v>1469</v>
      </c>
      <c r="N211" s="157"/>
      <c r="O211" s="157" t="s">
        <v>480</v>
      </c>
      <c r="P211" s="164" t="s">
        <v>1470</v>
      </c>
    </row>
    <row r="212" s="92" customFormat="1" ht="20.1" customHeight="1" spans="1:16">
      <c r="A212" s="157" t="s">
        <v>1471</v>
      </c>
      <c r="B212" s="266" t="s">
        <v>1114</v>
      </c>
      <c r="C212" s="267">
        <v>0</v>
      </c>
      <c r="D212" s="268">
        <f t="shared" si="31"/>
        <v>0</v>
      </c>
      <c r="E212" s="267"/>
      <c r="F212" s="267"/>
      <c r="G212" s="267"/>
      <c r="H212" s="267"/>
      <c r="I212" s="287"/>
      <c r="J212" s="288">
        <f t="shared" ref="J212:J224" si="34">ROUND(IF(C212=0,IF(D212=0,0,1),IF(D212=0,-1,D212/C212)),4)*100</f>
        <v>0</v>
      </c>
      <c r="K212" s="276" t="s">
        <v>1087</v>
      </c>
      <c r="L212" s="33">
        <v>1</v>
      </c>
      <c r="M212" s="157" t="s">
        <v>1471</v>
      </c>
      <c r="N212" s="157"/>
      <c r="O212" s="157" t="s">
        <v>480</v>
      </c>
      <c r="P212" s="164" t="s">
        <v>1115</v>
      </c>
    </row>
    <row r="213" s="92" customFormat="1" ht="20.1" customHeight="1" spans="1:16">
      <c r="A213" s="157" t="s">
        <v>1472</v>
      </c>
      <c r="B213" s="266" t="s">
        <v>1473</v>
      </c>
      <c r="C213" s="267"/>
      <c r="D213" s="268">
        <f t="shared" si="31"/>
        <v>0</v>
      </c>
      <c r="E213" s="267"/>
      <c r="F213" s="267"/>
      <c r="G213" s="267"/>
      <c r="H213" s="267"/>
      <c r="I213" s="287"/>
      <c r="J213" s="288">
        <f t="shared" si="34"/>
        <v>0</v>
      </c>
      <c r="K213" s="276" t="s">
        <v>1087</v>
      </c>
      <c r="L213" s="33">
        <v>1</v>
      </c>
      <c r="M213" s="157" t="s">
        <v>1472</v>
      </c>
      <c r="N213" s="157"/>
      <c r="O213" s="157" t="s">
        <v>480</v>
      </c>
      <c r="P213" s="164" t="s">
        <v>1474</v>
      </c>
    </row>
    <row r="214" s="93" customFormat="1" ht="20.1" customHeight="1" spans="1:16">
      <c r="A214" s="263" t="s">
        <v>481</v>
      </c>
      <c r="B214" s="264" t="s">
        <v>247</v>
      </c>
      <c r="C214" s="265">
        <f t="shared" ref="C214:I214" si="35">SUM(C215:C228)</f>
        <v>1544</v>
      </c>
      <c r="D214" s="265">
        <f t="shared" si="31"/>
        <v>1414</v>
      </c>
      <c r="E214" s="265">
        <f t="shared" si="35"/>
        <v>44</v>
      </c>
      <c r="F214" s="265">
        <f t="shared" si="35"/>
        <v>0</v>
      </c>
      <c r="G214" s="265">
        <f t="shared" si="35"/>
        <v>55</v>
      </c>
      <c r="H214" s="265">
        <f t="shared" si="35"/>
        <v>0</v>
      </c>
      <c r="I214" s="265">
        <f t="shared" si="35"/>
        <v>1315</v>
      </c>
      <c r="J214" s="283">
        <f t="shared" si="34"/>
        <v>91.58</v>
      </c>
      <c r="K214" s="284" t="s">
        <v>1082</v>
      </c>
      <c r="L214" s="285"/>
      <c r="M214" s="263" t="s">
        <v>481</v>
      </c>
      <c r="N214" s="263" t="s">
        <v>455</v>
      </c>
      <c r="O214" s="263" t="s">
        <v>481</v>
      </c>
      <c r="P214" s="286" t="s">
        <v>1475</v>
      </c>
    </row>
    <row r="215" s="92" customFormat="1" ht="20.1" customHeight="1" spans="1:16">
      <c r="A215" s="157" t="s">
        <v>1476</v>
      </c>
      <c r="B215" s="269" t="s">
        <v>1086</v>
      </c>
      <c r="C215" s="267">
        <v>1403</v>
      </c>
      <c r="D215" s="268">
        <f t="shared" si="31"/>
        <v>1241</v>
      </c>
      <c r="E215" s="267"/>
      <c r="F215" s="267"/>
      <c r="G215" s="267"/>
      <c r="H215" s="267"/>
      <c r="I215" s="287">
        <v>1241</v>
      </c>
      <c r="J215" s="288">
        <f t="shared" si="34"/>
        <v>88.45</v>
      </c>
      <c r="K215" s="276" t="s">
        <v>1087</v>
      </c>
      <c r="L215" s="33">
        <v>1</v>
      </c>
      <c r="M215" s="157" t="s">
        <v>1476</v>
      </c>
      <c r="N215" s="157"/>
      <c r="O215" s="157" t="s">
        <v>481</v>
      </c>
      <c r="P215" s="164" t="s">
        <v>1088</v>
      </c>
    </row>
    <row r="216" s="92" customFormat="1" ht="20.1" customHeight="1" spans="1:16">
      <c r="A216" s="157" t="s">
        <v>1477</v>
      </c>
      <c r="B216" s="269" t="s">
        <v>1090</v>
      </c>
      <c r="C216" s="267"/>
      <c r="D216" s="268">
        <f t="shared" si="31"/>
        <v>0</v>
      </c>
      <c r="E216" s="267"/>
      <c r="F216" s="267"/>
      <c r="G216" s="267"/>
      <c r="H216" s="267"/>
      <c r="I216" s="287"/>
      <c r="J216" s="288">
        <f t="shared" si="34"/>
        <v>0</v>
      </c>
      <c r="K216" s="276" t="s">
        <v>1087</v>
      </c>
      <c r="L216" s="33">
        <v>1</v>
      </c>
      <c r="M216" s="157" t="s">
        <v>1477</v>
      </c>
      <c r="N216" s="157"/>
      <c r="O216" s="157" t="s">
        <v>481</v>
      </c>
      <c r="P216" s="164" t="s">
        <v>1091</v>
      </c>
    </row>
    <row r="217" s="92" customFormat="1" ht="20.1" customHeight="1" spans="1:16">
      <c r="A217" s="157" t="s">
        <v>1478</v>
      </c>
      <c r="B217" s="266" t="s">
        <v>1093</v>
      </c>
      <c r="C217" s="267"/>
      <c r="D217" s="268">
        <f t="shared" si="31"/>
        <v>0</v>
      </c>
      <c r="E217" s="267"/>
      <c r="F217" s="267"/>
      <c r="G217" s="267"/>
      <c r="H217" s="267"/>
      <c r="I217" s="287"/>
      <c r="J217" s="288">
        <f t="shared" si="34"/>
        <v>0</v>
      </c>
      <c r="K217" s="276" t="s">
        <v>1087</v>
      </c>
      <c r="L217" s="33">
        <v>1</v>
      </c>
      <c r="M217" s="157" t="s">
        <v>1478</v>
      </c>
      <c r="N217" s="157"/>
      <c r="O217" s="157" t="s">
        <v>481</v>
      </c>
      <c r="P217" s="164" t="s">
        <v>1094</v>
      </c>
    </row>
    <row r="218" s="92" customFormat="1" ht="20.1" customHeight="1" spans="1:16">
      <c r="A218" s="157" t="s">
        <v>1479</v>
      </c>
      <c r="B218" s="266" t="s">
        <v>1480</v>
      </c>
      <c r="C218" s="267">
        <v>1</v>
      </c>
      <c r="D218" s="268">
        <f t="shared" si="31"/>
        <v>1</v>
      </c>
      <c r="E218" s="267"/>
      <c r="F218" s="267"/>
      <c r="G218" s="267"/>
      <c r="H218" s="267"/>
      <c r="I218" s="287">
        <v>1</v>
      </c>
      <c r="J218" s="288">
        <f t="shared" si="34"/>
        <v>100</v>
      </c>
      <c r="K218" s="276" t="s">
        <v>1087</v>
      </c>
      <c r="L218" s="33">
        <v>1</v>
      </c>
      <c r="M218" s="157" t="s">
        <v>1479</v>
      </c>
      <c r="N218" s="157"/>
      <c r="O218" s="157" t="s">
        <v>481</v>
      </c>
      <c r="P218" s="289" t="s">
        <v>1481</v>
      </c>
    </row>
    <row r="219" s="92" customFormat="1" ht="20.1" customHeight="1" spans="1:16">
      <c r="A219" s="157" t="s">
        <v>1482</v>
      </c>
      <c r="B219" s="266" t="s">
        <v>1483</v>
      </c>
      <c r="C219" s="267"/>
      <c r="D219" s="268">
        <f t="shared" si="31"/>
        <v>0</v>
      </c>
      <c r="E219" s="267"/>
      <c r="F219" s="267"/>
      <c r="G219" s="267"/>
      <c r="H219" s="267"/>
      <c r="I219" s="287"/>
      <c r="J219" s="288">
        <f t="shared" si="34"/>
        <v>0</v>
      </c>
      <c r="K219" s="276" t="s">
        <v>1087</v>
      </c>
      <c r="L219" s="33">
        <v>1</v>
      </c>
      <c r="M219" s="157" t="s">
        <v>1482</v>
      </c>
      <c r="N219" s="157"/>
      <c r="O219" s="157" t="s">
        <v>481</v>
      </c>
      <c r="P219" s="289" t="s">
        <v>1484</v>
      </c>
    </row>
    <row r="220" s="92" customFormat="1" ht="20.1" customHeight="1" spans="1:16">
      <c r="A220" s="157" t="s">
        <v>1485</v>
      </c>
      <c r="B220" s="266" t="s">
        <v>1217</v>
      </c>
      <c r="C220" s="267"/>
      <c r="D220" s="268">
        <f t="shared" si="31"/>
        <v>0</v>
      </c>
      <c r="E220" s="267"/>
      <c r="F220" s="267"/>
      <c r="G220" s="267"/>
      <c r="H220" s="267"/>
      <c r="I220" s="287"/>
      <c r="J220" s="288">
        <f t="shared" si="34"/>
        <v>0</v>
      </c>
      <c r="K220" s="276" t="s">
        <v>1087</v>
      </c>
      <c r="L220" s="33">
        <v>1</v>
      </c>
      <c r="M220" s="157" t="s">
        <v>1485</v>
      </c>
      <c r="N220" s="157"/>
      <c r="O220" s="157" t="s">
        <v>481</v>
      </c>
      <c r="P220" s="289" t="s">
        <v>1218</v>
      </c>
    </row>
    <row r="221" s="92" customFormat="1" ht="20.1" customHeight="1" spans="1:16">
      <c r="A221" s="157" t="s">
        <v>1486</v>
      </c>
      <c r="B221" s="266" t="s">
        <v>1487</v>
      </c>
      <c r="C221" s="267"/>
      <c r="D221" s="268">
        <f t="shared" si="31"/>
        <v>18</v>
      </c>
      <c r="E221" s="267">
        <v>10</v>
      </c>
      <c r="F221" s="267"/>
      <c r="G221" s="267">
        <v>8</v>
      </c>
      <c r="H221" s="267"/>
      <c r="I221" s="287"/>
      <c r="J221" s="288">
        <f t="shared" si="34"/>
        <v>100</v>
      </c>
      <c r="K221" s="276" t="s">
        <v>1087</v>
      </c>
      <c r="L221" s="33">
        <v>1</v>
      </c>
      <c r="M221" s="157" t="s">
        <v>1486</v>
      </c>
      <c r="N221" s="157"/>
      <c r="O221" s="157" t="s">
        <v>481</v>
      </c>
      <c r="P221" s="289" t="s">
        <v>1488</v>
      </c>
    </row>
    <row r="222" s="92" customFormat="1" ht="20.1" customHeight="1" spans="1:16">
      <c r="A222" s="157" t="s">
        <v>1489</v>
      </c>
      <c r="B222" s="266" t="s">
        <v>1490</v>
      </c>
      <c r="C222" s="267"/>
      <c r="D222" s="268">
        <f t="shared" si="31"/>
        <v>0</v>
      </c>
      <c r="E222" s="267"/>
      <c r="F222" s="267"/>
      <c r="G222" s="267"/>
      <c r="H222" s="267"/>
      <c r="I222" s="287"/>
      <c r="J222" s="288">
        <f t="shared" si="34"/>
        <v>0</v>
      </c>
      <c r="K222" s="276" t="s">
        <v>1087</v>
      </c>
      <c r="L222" s="33">
        <v>1</v>
      </c>
      <c r="M222" s="157" t="s">
        <v>1489</v>
      </c>
      <c r="N222" s="157"/>
      <c r="O222" s="157" t="s">
        <v>481</v>
      </c>
      <c r="P222" s="289" t="s">
        <v>1491</v>
      </c>
    </row>
    <row r="223" s="92" customFormat="1" ht="20.1" customHeight="1" spans="1:16">
      <c r="A223" s="157" t="s">
        <v>1492</v>
      </c>
      <c r="B223" s="266" t="s">
        <v>1493</v>
      </c>
      <c r="C223" s="267"/>
      <c r="D223" s="268">
        <f t="shared" si="31"/>
        <v>0</v>
      </c>
      <c r="E223" s="267"/>
      <c r="F223" s="267"/>
      <c r="G223" s="267"/>
      <c r="H223" s="267"/>
      <c r="I223" s="287"/>
      <c r="J223" s="288">
        <f t="shared" si="34"/>
        <v>0</v>
      </c>
      <c r="K223" s="276" t="s">
        <v>1087</v>
      </c>
      <c r="L223" s="33">
        <v>1</v>
      </c>
      <c r="M223" s="157" t="s">
        <v>1492</v>
      </c>
      <c r="N223" s="157"/>
      <c r="O223" s="157" t="s">
        <v>481</v>
      </c>
      <c r="P223" s="289" t="s">
        <v>1494</v>
      </c>
    </row>
    <row r="224" s="92" customFormat="1" ht="20.1" customHeight="1" spans="1:16">
      <c r="A224" s="157" t="s">
        <v>1495</v>
      </c>
      <c r="B224" s="266" t="s">
        <v>1496</v>
      </c>
      <c r="C224" s="267"/>
      <c r="D224" s="268">
        <f t="shared" si="31"/>
        <v>0</v>
      </c>
      <c r="E224" s="267"/>
      <c r="F224" s="267"/>
      <c r="G224" s="267"/>
      <c r="H224" s="267"/>
      <c r="I224" s="287"/>
      <c r="J224" s="288">
        <f t="shared" si="34"/>
        <v>0</v>
      </c>
      <c r="K224" s="276" t="s">
        <v>1087</v>
      </c>
      <c r="L224" s="33">
        <v>1</v>
      </c>
      <c r="M224" s="157" t="s">
        <v>1495</v>
      </c>
      <c r="N224" s="157"/>
      <c r="O224" s="157" t="s">
        <v>481</v>
      </c>
      <c r="P224" s="289" t="s">
        <v>1497</v>
      </c>
    </row>
    <row r="225" s="92" customFormat="1" ht="20.1" customHeight="1" spans="1:16">
      <c r="A225" s="157" t="s">
        <v>1498</v>
      </c>
      <c r="B225" s="634" t="s">
        <v>1499</v>
      </c>
      <c r="C225" s="267"/>
      <c r="D225" s="268">
        <f t="shared" si="31"/>
        <v>0</v>
      </c>
      <c r="E225" s="267"/>
      <c r="F225" s="267"/>
      <c r="G225" s="267"/>
      <c r="H225" s="267"/>
      <c r="I225" s="287"/>
      <c r="J225" s="288"/>
      <c r="K225" s="276" t="s">
        <v>1087</v>
      </c>
      <c r="L225" s="33">
        <v>1</v>
      </c>
      <c r="M225" s="157" t="s">
        <v>1498</v>
      </c>
      <c r="N225" s="157"/>
      <c r="O225" s="157" t="s">
        <v>481</v>
      </c>
      <c r="P225" s="289" t="s">
        <v>1500</v>
      </c>
    </row>
    <row r="226" s="92" customFormat="1" ht="20.1" customHeight="1" spans="1:16">
      <c r="A226" s="157" t="s">
        <v>1501</v>
      </c>
      <c r="B226" s="634" t="s">
        <v>1502</v>
      </c>
      <c r="C226" s="267">
        <v>42</v>
      </c>
      <c r="D226" s="268">
        <f t="shared" si="31"/>
        <v>85</v>
      </c>
      <c r="E226" s="267">
        <v>34</v>
      </c>
      <c r="F226" s="267"/>
      <c r="G226" s="267">
        <v>24</v>
      </c>
      <c r="H226" s="267"/>
      <c r="I226" s="287">
        <v>27</v>
      </c>
      <c r="J226" s="288"/>
      <c r="K226" s="276" t="s">
        <v>1087</v>
      </c>
      <c r="L226" s="33">
        <v>1</v>
      </c>
      <c r="M226" s="157" t="s">
        <v>1501</v>
      </c>
      <c r="N226" s="157"/>
      <c r="O226" s="157" t="s">
        <v>481</v>
      </c>
      <c r="P226" s="289" t="s">
        <v>1503</v>
      </c>
    </row>
    <row r="227" s="92" customFormat="1" ht="20.1" customHeight="1" spans="1:16">
      <c r="A227" s="157" t="s">
        <v>1504</v>
      </c>
      <c r="B227" s="266" t="s">
        <v>1114</v>
      </c>
      <c r="C227" s="267"/>
      <c r="D227" s="268">
        <f t="shared" si="31"/>
        <v>0</v>
      </c>
      <c r="E227" s="267"/>
      <c r="F227" s="267"/>
      <c r="G227" s="267"/>
      <c r="H227" s="267"/>
      <c r="I227" s="287"/>
      <c r="J227" s="288">
        <f t="shared" ref="J227:J240" si="36">ROUND(IF(C227=0,IF(D227=0,0,1),IF(D227=0,-1,D227/C227)),4)*100</f>
        <v>0</v>
      </c>
      <c r="K227" s="276" t="s">
        <v>1087</v>
      </c>
      <c r="L227" s="33">
        <v>1</v>
      </c>
      <c r="M227" s="157" t="s">
        <v>1504</v>
      </c>
      <c r="N227" s="157"/>
      <c r="O227" s="157" t="s">
        <v>481</v>
      </c>
      <c r="P227" s="289" t="s">
        <v>1115</v>
      </c>
    </row>
    <row r="228" s="92" customFormat="1" ht="20.1" customHeight="1" spans="1:16">
      <c r="A228" s="157" t="s">
        <v>1505</v>
      </c>
      <c r="B228" s="266" t="s">
        <v>1506</v>
      </c>
      <c r="C228" s="267">
        <v>98</v>
      </c>
      <c r="D228" s="268">
        <f t="shared" si="31"/>
        <v>69</v>
      </c>
      <c r="E228" s="267"/>
      <c r="F228" s="267"/>
      <c r="G228" s="267">
        <v>23</v>
      </c>
      <c r="H228" s="267"/>
      <c r="I228" s="287">
        <v>46</v>
      </c>
      <c r="J228" s="288">
        <f t="shared" si="36"/>
        <v>70.41</v>
      </c>
      <c r="K228" s="276" t="s">
        <v>1087</v>
      </c>
      <c r="L228" s="33">
        <v>1</v>
      </c>
      <c r="M228" s="157" t="s">
        <v>1505</v>
      </c>
      <c r="N228" s="157"/>
      <c r="O228" s="157" t="s">
        <v>481</v>
      </c>
      <c r="P228" s="289" t="s">
        <v>1507</v>
      </c>
    </row>
    <row r="229" s="93" customFormat="1" ht="20.1" customHeight="1" spans="1:16">
      <c r="A229" s="263" t="s">
        <v>482</v>
      </c>
      <c r="B229" s="264" t="s">
        <v>1508</v>
      </c>
      <c r="C229" s="265">
        <f t="shared" ref="C229:I229" si="37">SUM(C230:C235)</f>
        <v>24</v>
      </c>
      <c r="D229" s="265">
        <f t="shared" si="31"/>
        <v>132</v>
      </c>
      <c r="E229" s="265">
        <f t="shared" si="37"/>
        <v>0</v>
      </c>
      <c r="F229" s="265">
        <f t="shared" si="37"/>
        <v>5</v>
      </c>
      <c r="G229" s="265">
        <f t="shared" si="37"/>
        <v>0</v>
      </c>
      <c r="H229" s="265">
        <f t="shared" si="37"/>
        <v>0</v>
      </c>
      <c r="I229" s="265">
        <f t="shared" si="37"/>
        <v>127</v>
      </c>
      <c r="J229" s="283">
        <f t="shared" si="36"/>
        <v>550</v>
      </c>
      <c r="K229" s="284" t="s">
        <v>1082</v>
      </c>
      <c r="L229" s="285"/>
      <c r="M229" s="263" t="s">
        <v>482</v>
      </c>
      <c r="N229" s="263" t="s">
        <v>455</v>
      </c>
      <c r="O229" s="263" t="s">
        <v>482</v>
      </c>
      <c r="P229" s="286" t="s">
        <v>1508</v>
      </c>
    </row>
    <row r="230" s="92" customFormat="1" ht="20.1" customHeight="1" spans="1:16">
      <c r="A230" s="157" t="s">
        <v>1509</v>
      </c>
      <c r="B230" s="269" t="s">
        <v>1086</v>
      </c>
      <c r="C230" s="267">
        <v>24</v>
      </c>
      <c r="D230" s="268">
        <f t="shared" si="31"/>
        <v>127</v>
      </c>
      <c r="E230" s="267"/>
      <c r="F230" s="267"/>
      <c r="G230" s="267"/>
      <c r="H230" s="267"/>
      <c r="I230" s="287">
        <v>127</v>
      </c>
      <c r="J230" s="288">
        <f t="shared" si="36"/>
        <v>529.17</v>
      </c>
      <c r="K230" s="276" t="s">
        <v>1087</v>
      </c>
      <c r="L230" s="33">
        <v>1</v>
      </c>
      <c r="M230" s="157" t="s">
        <v>1509</v>
      </c>
      <c r="N230" s="157"/>
      <c r="O230" s="157" t="s">
        <v>482</v>
      </c>
      <c r="P230" s="290" t="s">
        <v>1088</v>
      </c>
    </row>
    <row r="231" s="92" customFormat="1" ht="20.1" customHeight="1" spans="1:16">
      <c r="A231" s="157" t="s">
        <v>1510</v>
      </c>
      <c r="B231" s="269" t="s">
        <v>1090</v>
      </c>
      <c r="C231" s="267">
        <v>0</v>
      </c>
      <c r="D231" s="268">
        <f t="shared" si="31"/>
        <v>5</v>
      </c>
      <c r="E231" s="267"/>
      <c r="F231" s="267">
        <v>5</v>
      </c>
      <c r="G231" s="267"/>
      <c r="H231" s="267"/>
      <c r="I231" s="287"/>
      <c r="J231" s="288">
        <f t="shared" si="36"/>
        <v>100</v>
      </c>
      <c r="K231" s="276" t="s">
        <v>1087</v>
      </c>
      <c r="L231" s="33">
        <v>1</v>
      </c>
      <c r="M231" s="157" t="s">
        <v>1510</v>
      </c>
      <c r="N231" s="157"/>
      <c r="O231" s="157" t="s">
        <v>482</v>
      </c>
      <c r="P231" s="290" t="s">
        <v>1091</v>
      </c>
    </row>
    <row r="232" s="92" customFormat="1" ht="20.1" customHeight="1" spans="1:16">
      <c r="A232" s="157" t="s">
        <v>1511</v>
      </c>
      <c r="B232" s="266" t="s">
        <v>1093</v>
      </c>
      <c r="C232" s="267">
        <v>0</v>
      </c>
      <c r="D232" s="268">
        <f t="shared" si="31"/>
        <v>0</v>
      </c>
      <c r="E232" s="267"/>
      <c r="F232" s="267"/>
      <c r="G232" s="267"/>
      <c r="H232" s="267"/>
      <c r="I232" s="287"/>
      <c r="J232" s="288">
        <f t="shared" si="36"/>
        <v>0</v>
      </c>
      <c r="K232" s="276" t="s">
        <v>1087</v>
      </c>
      <c r="L232" s="33">
        <v>1</v>
      </c>
      <c r="M232" s="157" t="s">
        <v>1511</v>
      </c>
      <c r="N232" s="157"/>
      <c r="O232" s="157" t="s">
        <v>482</v>
      </c>
      <c r="P232" s="289" t="s">
        <v>1094</v>
      </c>
    </row>
    <row r="233" s="92" customFormat="1" ht="20.1" customHeight="1" spans="1:17">
      <c r="A233" s="157" t="s">
        <v>1512</v>
      </c>
      <c r="B233" s="266" t="s">
        <v>1406</v>
      </c>
      <c r="C233" s="267"/>
      <c r="D233" s="268">
        <f t="shared" si="31"/>
        <v>0</v>
      </c>
      <c r="E233" s="267"/>
      <c r="F233" s="267"/>
      <c r="G233" s="267"/>
      <c r="H233" s="267"/>
      <c r="I233" s="287"/>
      <c r="J233" s="288">
        <f t="shared" si="36"/>
        <v>0</v>
      </c>
      <c r="K233" s="276" t="s">
        <v>1087</v>
      </c>
      <c r="L233" s="33">
        <v>1</v>
      </c>
      <c r="M233" s="157" t="s">
        <v>1512</v>
      </c>
      <c r="N233" s="157"/>
      <c r="O233" s="157" t="s">
        <v>482</v>
      </c>
      <c r="P233" s="289" t="s">
        <v>1407</v>
      </c>
      <c r="Q233" s="295" t="s">
        <v>1513</v>
      </c>
    </row>
    <row r="234" s="92" customFormat="1" ht="20.1" customHeight="1" spans="1:16">
      <c r="A234" s="157" t="s">
        <v>1514</v>
      </c>
      <c r="B234" s="266" t="s">
        <v>1114</v>
      </c>
      <c r="C234" s="267">
        <v>0</v>
      </c>
      <c r="D234" s="268">
        <f t="shared" si="31"/>
        <v>0</v>
      </c>
      <c r="E234" s="267"/>
      <c r="F234" s="267"/>
      <c r="G234" s="267"/>
      <c r="H234" s="267"/>
      <c r="I234" s="287"/>
      <c r="J234" s="288">
        <f t="shared" si="36"/>
        <v>0</v>
      </c>
      <c r="K234" s="276" t="s">
        <v>1087</v>
      </c>
      <c r="L234" s="33">
        <v>1</v>
      </c>
      <c r="M234" s="157" t="s">
        <v>1514</v>
      </c>
      <c r="N234" s="157"/>
      <c r="O234" s="157" t="s">
        <v>482</v>
      </c>
      <c r="P234" s="289" t="s">
        <v>1115</v>
      </c>
    </row>
    <row r="235" s="92" customFormat="1" ht="20.1" customHeight="1" spans="1:16">
      <c r="A235" s="157" t="s">
        <v>1515</v>
      </c>
      <c r="B235" s="266" t="s">
        <v>1516</v>
      </c>
      <c r="C235" s="267"/>
      <c r="D235" s="268">
        <f t="shared" si="31"/>
        <v>0</v>
      </c>
      <c r="E235" s="267"/>
      <c r="F235" s="267"/>
      <c r="G235" s="267"/>
      <c r="H235" s="267"/>
      <c r="I235" s="287"/>
      <c r="J235" s="288">
        <f t="shared" si="36"/>
        <v>0</v>
      </c>
      <c r="K235" s="276" t="s">
        <v>1087</v>
      </c>
      <c r="L235" s="33">
        <v>1</v>
      </c>
      <c r="M235" s="157" t="s">
        <v>1515</v>
      </c>
      <c r="N235" s="157"/>
      <c r="O235" s="157" t="s">
        <v>482</v>
      </c>
      <c r="P235" s="289" t="s">
        <v>1517</v>
      </c>
    </row>
    <row r="236" s="93" customFormat="1" ht="20.1" customHeight="1" spans="1:16">
      <c r="A236" s="263" t="s">
        <v>483</v>
      </c>
      <c r="B236" s="264" t="s">
        <v>1518</v>
      </c>
      <c r="C236" s="265">
        <f t="shared" ref="C236:I236" si="38">SUM(C237:C242)</f>
        <v>151</v>
      </c>
      <c r="D236" s="265">
        <f t="shared" si="31"/>
        <v>163</v>
      </c>
      <c r="E236" s="265">
        <f t="shared" si="38"/>
        <v>0</v>
      </c>
      <c r="F236" s="265">
        <f t="shared" si="38"/>
        <v>0</v>
      </c>
      <c r="G236" s="265">
        <f t="shared" si="38"/>
        <v>0</v>
      </c>
      <c r="H236" s="265">
        <f t="shared" si="38"/>
        <v>0</v>
      </c>
      <c r="I236" s="265">
        <f t="shared" si="38"/>
        <v>163</v>
      </c>
      <c r="J236" s="283">
        <f t="shared" si="36"/>
        <v>107.95</v>
      </c>
      <c r="K236" s="284" t="s">
        <v>1082</v>
      </c>
      <c r="L236" s="285"/>
      <c r="M236" s="263" t="s">
        <v>483</v>
      </c>
      <c r="N236" s="263" t="s">
        <v>455</v>
      </c>
      <c r="O236" s="263" t="s">
        <v>483</v>
      </c>
      <c r="P236" s="286" t="s">
        <v>1519</v>
      </c>
    </row>
    <row r="237" s="92" customFormat="1" ht="20.1" customHeight="1" spans="1:16">
      <c r="A237" s="157" t="s">
        <v>1520</v>
      </c>
      <c r="B237" s="269" t="s">
        <v>1086</v>
      </c>
      <c r="C237" s="267">
        <v>151</v>
      </c>
      <c r="D237" s="268">
        <f t="shared" si="31"/>
        <v>135</v>
      </c>
      <c r="E237" s="267"/>
      <c r="F237" s="267"/>
      <c r="G237" s="267"/>
      <c r="H237" s="267"/>
      <c r="I237" s="287">
        <v>135</v>
      </c>
      <c r="J237" s="288">
        <f t="shared" si="36"/>
        <v>89.4</v>
      </c>
      <c r="K237" s="276" t="s">
        <v>1087</v>
      </c>
      <c r="L237" s="33">
        <v>1</v>
      </c>
      <c r="M237" s="157" t="s">
        <v>1520</v>
      </c>
      <c r="N237" s="157"/>
      <c r="O237" s="157" t="s">
        <v>483</v>
      </c>
      <c r="P237" s="164" t="s">
        <v>1088</v>
      </c>
    </row>
    <row r="238" s="92" customFormat="1" ht="20.1" customHeight="1" spans="1:16">
      <c r="A238" s="157" t="s">
        <v>1521</v>
      </c>
      <c r="B238" s="269" t="s">
        <v>1090</v>
      </c>
      <c r="C238" s="267">
        <v>0</v>
      </c>
      <c r="D238" s="268">
        <f t="shared" si="31"/>
        <v>0</v>
      </c>
      <c r="E238" s="267"/>
      <c r="F238" s="267"/>
      <c r="G238" s="267"/>
      <c r="H238" s="267"/>
      <c r="I238" s="287"/>
      <c r="J238" s="288">
        <f t="shared" si="36"/>
        <v>0</v>
      </c>
      <c r="K238" s="276" t="s">
        <v>1087</v>
      </c>
      <c r="L238" s="33">
        <v>1</v>
      </c>
      <c r="M238" s="157" t="s">
        <v>1521</v>
      </c>
      <c r="N238" s="157"/>
      <c r="O238" s="157" t="s">
        <v>483</v>
      </c>
      <c r="P238" s="164" t="s">
        <v>1091</v>
      </c>
    </row>
    <row r="239" s="92" customFormat="1" ht="20.1" customHeight="1" spans="1:16">
      <c r="A239" s="157" t="s">
        <v>1522</v>
      </c>
      <c r="B239" s="266" t="s">
        <v>1093</v>
      </c>
      <c r="C239" s="267">
        <v>0</v>
      </c>
      <c r="D239" s="268">
        <f t="shared" si="31"/>
        <v>0</v>
      </c>
      <c r="E239" s="267"/>
      <c r="F239" s="267"/>
      <c r="G239" s="267"/>
      <c r="H239" s="267"/>
      <c r="I239" s="287"/>
      <c r="J239" s="288">
        <f t="shared" si="36"/>
        <v>0</v>
      </c>
      <c r="K239" s="276" t="s">
        <v>1087</v>
      </c>
      <c r="L239" s="33">
        <v>1</v>
      </c>
      <c r="M239" s="157" t="s">
        <v>1522</v>
      </c>
      <c r="N239" s="157"/>
      <c r="O239" s="157" t="s">
        <v>483</v>
      </c>
      <c r="P239" s="164" t="s">
        <v>1094</v>
      </c>
    </row>
    <row r="240" s="92" customFormat="1" ht="20.1" customHeight="1" spans="1:16">
      <c r="A240" s="157" t="s">
        <v>1523</v>
      </c>
      <c r="B240" s="266" t="s">
        <v>1524</v>
      </c>
      <c r="C240" s="267">
        <v>0</v>
      </c>
      <c r="D240" s="268">
        <f t="shared" si="31"/>
        <v>28</v>
      </c>
      <c r="E240" s="267"/>
      <c r="F240" s="267"/>
      <c r="G240" s="267"/>
      <c r="H240" s="267"/>
      <c r="I240" s="287">
        <v>28</v>
      </c>
      <c r="J240" s="288">
        <f t="shared" si="36"/>
        <v>100</v>
      </c>
      <c r="K240" s="276" t="s">
        <v>1087</v>
      </c>
      <c r="L240" s="33">
        <v>1</v>
      </c>
      <c r="M240" s="157" t="s">
        <v>1523</v>
      </c>
      <c r="N240" s="157"/>
      <c r="O240" s="157" t="s">
        <v>483</v>
      </c>
      <c r="P240" s="164" t="s">
        <v>1525</v>
      </c>
    </row>
    <row r="241" s="92" customFormat="1" ht="20.1" customHeight="1" spans="1:16">
      <c r="A241" s="157" t="s">
        <v>1526</v>
      </c>
      <c r="B241" s="266" t="s">
        <v>1114</v>
      </c>
      <c r="C241" s="267"/>
      <c r="D241" s="268"/>
      <c r="E241" s="267"/>
      <c r="F241" s="267"/>
      <c r="G241" s="267"/>
      <c r="H241" s="267"/>
      <c r="I241" s="287"/>
      <c r="J241" s="288"/>
      <c r="K241" s="276" t="s">
        <v>1087</v>
      </c>
      <c r="L241" s="33">
        <v>1</v>
      </c>
      <c r="M241" s="157" t="s">
        <v>1526</v>
      </c>
      <c r="N241" s="157"/>
      <c r="O241" s="157" t="s">
        <v>483</v>
      </c>
      <c r="P241" s="164" t="s">
        <v>1115</v>
      </c>
    </row>
    <row r="242" s="92" customFormat="1" ht="20.1" customHeight="1" spans="1:16">
      <c r="A242" s="157" t="s">
        <v>1527</v>
      </c>
      <c r="B242" s="266" t="s">
        <v>1528</v>
      </c>
      <c r="C242" s="267">
        <v>0</v>
      </c>
      <c r="D242" s="268">
        <f t="shared" ref="D242:D305" si="39">SUM(E242:I242)</f>
        <v>0</v>
      </c>
      <c r="E242" s="267"/>
      <c r="F242" s="267"/>
      <c r="G242" s="267"/>
      <c r="H242" s="267"/>
      <c r="I242" s="287"/>
      <c r="J242" s="288">
        <f>ROUND(IF(C242=0,IF(D242=0,0,1),IF(D242=0,-1,D242/C242)),4)*100</f>
        <v>0</v>
      </c>
      <c r="K242" s="276" t="s">
        <v>1087</v>
      </c>
      <c r="L242" s="33">
        <v>1</v>
      </c>
      <c r="M242" s="157" t="s">
        <v>1527</v>
      </c>
      <c r="N242" s="157"/>
      <c r="O242" s="157" t="s">
        <v>483</v>
      </c>
      <c r="P242" s="164" t="s">
        <v>1529</v>
      </c>
    </row>
    <row r="243" s="93" customFormat="1" ht="20.1" customHeight="1" spans="1:16">
      <c r="A243" s="263" t="s">
        <v>1530</v>
      </c>
      <c r="B243" s="264" t="s">
        <v>1531</v>
      </c>
      <c r="C243" s="265">
        <f t="shared" ref="C243:I243" si="40">SUM(C244:C248)</f>
        <v>0</v>
      </c>
      <c r="D243" s="265">
        <f t="shared" si="39"/>
        <v>0</v>
      </c>
      <c r="E243" s="265">
        <f t="shared" si="40"/>
        <v>0</v>
      </c>
      <c r="F243" s="265">
        <f t="shared" si="40"/>
        <v>0</v>
      </c>
      <c r="G243" s="265">
        <f t="shared" si="40"/>
        <v>0</v>
      </c>
      <c r="H243" s="265">
        <f t="shared" si="40"/>
        <v>0</v>
      </c>
      <c r="I243" s="265">
        <f t="shared" si="40"/>
        <v>0</v>
      </c>
      <c r="J243" s="283"/>
      <c r="K243" s="284" t="s">
        <v>1082</v>
      </c>
      <c r="L243" s="285"/>
      <c r="M243" s="263" t="s">
        <v>1530</v>
      </c>
      <c r="N243" s="263" t="s">
        <v>455</v>
      </c>
      <c r="O243" s="263" t="s">
        <v>1530</v>
      </c>
      <c r="P243" s="286" t="s">
        <v>1532</v>
      </c>
    </row>
    <row r="244" s="92" customFormat="1" ht="20.1" customHeight="1" spans="1:16">
      <c r="A244" s="157" t="s">
        <v>1533</v>
      </c>
      <c r="B244" s="269" t="s">
        <v>1086</v>
      </c>
      <c r="C244" s="267"/>
      <c r="D244" s="268">
        <f t="shared" si="39"/>
        <v>0</v>
      </c>
      <c r="E244" s="267"/>
      <c r="F244" s="267"/>
      <c r="G244" s="267"/>
      <c r="H244" s="267"/>
      <c r="I244" s="287"/>
      <c r="J244" s="288"/>
      <c r="K244" s="276" t="s">
        <v>1087</v>
      </c>
      <c r="L244" s="33">
        <v>1</v>
      </c>
      <c r="M244" s="157" t="s">
        <v>1533</v>
      </c>
      <c r="N244" s="157"/>
      <c r="O244" s="157" t="s">
        <v>1530</v>
      </c>
      <c r="P244" s="164" t="s">
        <v>1088</v>
      </c>
    </row>
    <row r="245" s="92" customFormat="1" ht="20.1" customHeight="1" spans="1:16">
      <c r="A245" s="157" t="s">
        <v>1534</v>
      </c>
      <c r="B245" s="269" t="s">
        <v>1090</v>
      </c>
      <c r="C245" s="267"/>
      <c r="D245" s="268">
        <f t="shared" si="39"/>
        <v>0</v>
      </c>
      <c r="E245" s="267"/>
      <c r="F245" s="267"/>
      <c r="G245" s="267"/>
      <c r="H245" s="267"/>
      <c r="I245" s="287"/>
      <c r="J245" s="288"/>
      <c r="K245" s="276" t="s">
        <v>1087</v>
      </c>
      <c r="L245" s="33">
        <v>1</v>
      </c>
      <c r="M245" s="157" t="s">
        <v>1534</v>
      </c>
      <c r="N245" s="157"/>
      <c r="O245" s="157" t="s">
        <v>1530</v>
      </c>
      <c r="P245" s="164" t="s">
        <v>1091</v>
      </c>
    </row>
    <row r="246" s="92" customFormat="1" ht="20.1" customHeight="1" spans="1:16">
      <c r="A246" s="157" t="s">
        <v>1535</v>
      </c>
      <c r="B246" s="266" t="s">
        <v>1093</v>
      </c>
      <c r="C246" s="267"/>
      <c r="D246" s="268">
        <f t="shared" si="39"/>
        <v>0</v>
      </c>
      <c r="E246" s="267"/>
      <c r="F246" s="267"/>
      <c r="G246" s="267"/>
      <c r="H246" s="267"/>
      <c r="I246" s="287"/>
      <c r="J246" s="288"/>
      <c r="K246" s="276" t="s">
        <v>1087</v>
      </c>
      <c r="L246" s="33">
        <v>1</v>
      </c>
      <c r="M246" s="157" t="s">
        <v>1535</v>
      </c>
      <c r="N246" s="157"/>
      <c r="O246" s="157" t="s">
        <v>1530</v>
      </c>
      <c r="P246" s="164" t="s">
        <v>1094</v>
      </c>
    </row>
    <row r="247" s="92" customFormat="1" ht="20.1" customHeight="1" spans="1:16">
      <c r="A247" s="157" t="s">
        <v>1536</v>
      </c>
      <c r="B247" s="266" t="s">
        <v>1114</v>
      </c>
      <c r="C247" s="267"/>
      <c r="D247" s="268">
        <f t="shared" si="39"/>
        <v>0</v>
      </c>
      <c r="E247" s="267"/>
      <c r="F247" s="267"/>
      <c r="G247" s="267"/>
      <c r="H247" s="267"/>
      <c r="I247" s="287"/>
      <c r="J247" s="288"/>
      <c r="K247" s="276" t="s">
        <v>1087</v>
      </c>
      <c r="L247" s="33">
        <v>1</v>
      </c>
      <c r="M247" s="157" t="s">
        <v>1536</v>
      </c>
      <c r="N247" s="157"/>
      <c r="O247" s="157" t="s">
        <v>1530</v>
      </c>
      <c r="P247" s="164" t="s">
        <v>1115</v>
      </c>
    </row>
    <row r="248" s="92" customFormat="1" ht="20.1" customHeight="1" spans="1:16">
      <c r="A248" s="157" t="s">
        <v>1537</v>
      </c>
      <c r="B248" s="266" t="s">
        <v>1538</v>
      </c>
      <c r="C248" s="267"/>
      <c r="D248" s="268">
        <f t="shared" si="39"/>
        <v>0</v>
      </c>
      <c r="E248" s="267"/>
      <c r="F248" s="267"/>
      <c r="G248" s="267"/>
      <c r="H248" s="267"/>
      <c r="I248" s="287"/>
      <c r="J248" s="288"/>
      <c r="K248" s="276" t="s">
        <v>1087</v>
      </c>
      <c r="L248" s="33">
        <v>1</v>
      </c>
      <c r="M248" s="157" t="s">
        <v>1537</v>
      </c>
      <c r="N248" s="157"/>
      <c r="O248" s="157" t="s">
        <v>1530</v>
      </c>
      <c r="P248" s="164" t="s">
        <v>1539</v>
      </c>
    </row>
    <row r="249" s="93" customFormat="1" ht="20.1" customHeight="1" spans="1:16">
      <c r="A249" s="263" t="s">
        <v>484</v>
      </c>
      <c r="B249" s="264" t="s">
        <v>250</v>
      </c>
      <c r="C249" s="265">
        <f t="shared" ref="C249:I249" si="41">SUM(C250:C251)</f>
        <v>1569</v>
      </c>
      <c r="D249" s="265">
        <f t="shared" si="39"/>
        <v>2252</v>
      </c>
      <c r="E249" s="265">
        <f t="shared" si="41"/>
        <v>0</v>
      </c>
      <c r="F249" s="265">
        <f t="shared" si="41"/>
        <v>0</v>
      </c>
      <c r="G249" s="265">
        <f t="shared" si="41"/>
        <v>0</v>
      </c>
      <c r="H249" s="265">
        <f t="shared" si="41"/>
        <v>2000</v>
      </c>
      <c r="I249" s="265">
        <f t="shared" si="41"/>
        <v>252</v>
      </c>
      <c r="J249" s="283">
        <f t="shared" ref="J249:J252" si="42">ROUND(IF(C249=0,IF(D249=0,0,1),IF(D249=0,-1,D249/C249)),4)*100</f>
        <v>143.53</v>
      </c>
      <c r="K249" s="284" t="s">
        <v>1082</v>
      </c>
      <c r="L249" s="285"/>
      <c r="M249" s="263" t="s">
        <v>484</v>
      </c>
      <c r="N249" s="263" t="s">
        <v>455</v>
      </c>
      <c r="O249" s="263" t="s">
        <v>484</v>
      </c>
      <c r="P249" s="286" t="s">
        <v>1540</v>
      </c>
    </row>
    <row r="250" s="92" customFormat="1" ht="20.1" customHeight="1" spans="1:16">
      <c r="A250" s="157" t="s">
        <v>1541</v>
      </c>
      <c r="B250" s="269" t="s">
        <v>1542</v>
      </c>
      <c r="C250" s="267">
        <v>0</v>
      </c>
      <c r="D250" s="268">
        <f t="shared" si="39"/>
        <v>0</v>
      </c>
      <c r="E250" s="267"/>
      <c r="F250" s="267"/>
      <c r="G250" s="267"/>
      <c r="H250" s="267"/>
      <c r="I250" s="287"/>
      <c r="J250" s="288">
        <f t="shared" si="42"/>
        <v>0</v>
      </c>
      <c r="K250" s="276" t="s">
        <v>1087</v>
      </c>
      <c r="L250" s="33">
        <v>1</v>
      </c>
      <c r="M250" s="157" t="s">
        <v>1541</v>
      </c>
      <c r="N250" s="157"/>
      <c r="O250" s="157" t="s">
        <v>484</v>
      </c>
      <c r="P250" s="163" t="s">
        <v>1543</v>
      </c>
    </row>
    <row r="251" s="92" customFormat="1" ht="20.1" customHeight="1" spans="1:16">
      <c r="A251" s="157" t="s">
        <v>1544</v>
      </c>
      <c r="B251" s="269" t="s">
        <v>1545</v>
      </c>
      <c r="C251" s="267">
        <v>1569</v>
      </c>
      <c r="D251" s="268">
        <f t="shared" si="39"/>
        <v>2252</v>
      </c>
      <c r="E251" s="267"/>
      <c r="F251" s="267"/>
      <c r="G251" s="267"/>
      <c r="H251" s="267">
        <v>2000</v>
      </c>
      <c r="I251" s="287">
        <v>252</v>
      </c>
      <c r="J251" s="288">
        <f t="shared" si="42"/>
        <v>143.53</v>
      </c>
      <c r="K251" s="276" t="s">
        <v>1087</v>
      </c>
      <c r="L251" s="33">
        <v>1</v>
      </c>
      <c r="M251" s="157" t="s">
        <v>1544</v>
      </c>
      <c r="N251" s="157"/>
      <c r="O251" s="157" t="s">
        <v>484</v>
      </c>
      <c r="P251" s="163" t="s">
        <v>1540</v>
      </c>
    </row>
    <row r="252" s="93" customFormat="1" ht="20.1" customHeight="1" spans="1:16">
      <c r="A252" s="154" t="s">
        <v>485</v>
      </c>
      <c r="B252" s="261" t="s">
        <v>251</v>
      </c>
      <c r="C252" s="262">
        <f t="shared" ref="C252:I252" si="43">C253+C260+C263+C266+C272+C277+C279+C284+C290</f>
        <v>0</v>
      </c>
      <c r="D252" s="262">
        <f t="shared" si="39"/>
        <v>0</v>
      </c>
      <c r="E252" s="262">
        <f t="shared" si="43"/>
        <v>0</v>
      </c>
      <c r="F252" s="262">
        <f t="shared" si="43"/>
        <v>0</v>
      </c>
      <c r="G252" s="262">
        <f t="shared" si="43"/>
        <v>0</v>
      </c>
      <c r="H252" s="262">
        <f t="shared" si="43"/>
        <v>0</v>
      </c>
      <c r="I252" s="262">
        <f t="shared" si="43"/>
        <v>0</v>
      </c>
      <c r="J252" s="279">
        <f t="shared" si="42"/>
        <v>0</v>
      </c>
      <c r="K252" s="280" t="s">
        <v>1081</v>
      </c>
      <c r="L252" s="281"/>
      <c r="M252" s="154" t="s">
        <v>485</v>
      </c>
      <c r="N252" s="154" t="s">
        <v>485</v>
      </c>
      <c r="O252" s="154" t="s">
        <v>485</v>
      </c>
      <c r="P252" s="282" t="s">
        <v>1546</v>
      </c>
    </row>
    <row r="253" s="93" customFormat="1" ht="20.1" customHeight="1" spans="1:16">
      <c r="A253" s="263" t="s">
        <v>1547</v>
      </c>
      <c r="B253" s="264" t="s">
        <v>1548</v>
      </c>
      <c r="C253" s="265">
        <f t="shared" ref="C253:I253" si="44">SUM(C254:C259)</f>
        <v>0</v>
      </c>
      <c r="D253" s="265">
        <f t="shared" si="39"/>
        <v>0</v>
      </c>
      <c r="E253" s="265">
        <f t="shared" si="44"/>
        <v>0</v>
      </c>
      <c r="F253" s="265">
        <f t="shared" si="44"/>
        <v>0</v>
      </c>
      <c r="G253" s="265">
        <f t="shared" si="44"/>
        <v>0</v>
      </c>
      <c r="H253" s="265">
        <f t="shared" si="44"/>
        <v>0</v>
      </c>
      <c r="I253" s="265">
        <f t="shared" si="44"/>
        <v>0</v>
      </c>
      <c r="J253" s="283"/>
      <c r="K253" s="284" t="s">
        <v>1082</v>
      </c>
      <c r="L253" s="285"/>
      <c r="M253" s="263" t="s">
        <v>1547</v>
      </c>
      <c r="N253" s="263" t="s">
        <v>485</v>
      </c>
      <c r="O253" s="263" t="s">
        <v>1547</v>
      </c>
      <c r="P253" s="292" t="s">
        <v>1549</v>
      </c>
    </row>
    <row r="254" s="93" customFormat="1" ht="20.1" customHeight="1" spans="1:16">
      <c r="A254" s="157" t="s">
        <v>1550</v>
      </c>
      <c r="B254" s="269" t="s">
        <v>1086</v>
      </c>
      <c r="C254" s="268"/>
      <c r="D254" s="268">
        <f t="shared" si="39"/>
        <v>0</v>
      </c>
      <c r="E254" s="268"/>
      <c r="F254" s="268"/>
      <c r="G254" s="268"/>
      <c r="H254" s="268"/>
      <c r="I254" s="268"/>
      <c r="J254" s="293"/>
      <c r="K254" s="276" t="s">
        <v>1087</v>
      </c>
      <c r="L254" s="33">
        <v>1</v>
      </c>
      <c r="M254" s="157" t="s">
        <v>1550</v>
      </c>
      <c r="N254" s="294"/>
      <c r="O254" s="157" t="s">
        <v>1547</v>
      </c>
      <c r="P254" s="290" t="s">
        <v>1088</v>
      </c>
    </row>
    <row r="255" s="93" customFormat="1" ht="20.1" customHeight="1" spans="1:16">
      <c r="A255" s="157" t="s">
        <v>1551</v>
      </c>
      <c r="B255" s="269" t="s">
        <v>1090</v>
      </c>
      <c r="C255" s="268"/>
      <c r="D255" s="268">
        <f t="shared" si="39"/>
        <v>0</v>
      </c>
      <c r="E255" s="268"/>
      <c r="F255" s="268"/>
      <c r="G255" s="268"/>
      <c r="H255" s="268"/>
      <c r="I255" s="268"/>
      <c r="J255" s="293"/>
      <c r="K255" s="276" t="s">
        <v>1087</v>
      </c>
      <c r="L255" s="33">
        <v>1</v>
      </c>
      <c r="M255" s="157" t="s">
        <v>1551</v>
      </c>
      <c r="N255" s="294"/>
      <c r="O255" s="157" t="s">
        <v>1547</v>
      </c>
      <c r="P255" s="290" t="s">
        <v>1091</v>
      </c>
    </row>
    <row r="256" s="93" customFormat="1" ht="20.1" customHeight="1" spans="1:16">
      <c r="A256" s="157" t="s">
        <v>1552</v>
      </c>
      <c r="B256" s="266" t="s">
        <v>1093</v>
      </c>
      <c r="C256" s="268"/>
      <c r="D256" s="268">
        <f t="shared" si="39"/>
        <v>0</v>
      </c>
      <c r="E256" s="268"/>
      <c r="F256" s="268"/>
      <c r="G256" s="268"/>
      <c r="H256" s="268"/>
      <c r="I256" s="268"/>
      <c r="J256" s="293"/>
      <c r="K256" s="276" t="s">
        <v>1087</v>
      </c>
      <c r="L256" s="33">
        <v>1</v>
      </c>
      <c r="M256" s="157" t="s">
        <v>1552</v>
      </c>
      <c r="N256" s="294"/>
      <c r="O256" s="157" t="s">
        <v>1547</v>
      </c>
      <c r="P256" s="289" t="s">
        <v>1094</v>
      </c>
    </row>
    <row r="257" s="93" customFormat="1" ht="20.1" customHeight="1" spans="1:16">
      <c r="A257" s="157" t="s">
        <v>1553</v>
      </c>
      <c r="B257" s="266" t="s">
        <v>1406</v>
      </c>
      <c r="C257" s="268"/>
      <c r="D257" s="268">
        <f t="shared" si="39"/>
        <v>0</v>
      </c>
      <c r="E257" s="268"/>
      <c r="F257" s="268"/>
      <c r="G257" s="268"/>
      <c r="H257" s="268"/>
      <c r="I257" s="268"/>
      <c r="J257" s="293"/>
      <c r="K257" s="276" t="s">
        <v>1087</v>
      </c>
      <c r="L257" s="33">
        <v>1</v>
      </c>
      <c r="M257" s="157" t="s">
        <v>1553</v>
      </c>
      <c r="N257" s="294"/>
      <c r="O257" s="157" t="s">
        <v>1547</v>
      </c>
      <c r="P257" s="289" t="s">
        <v>1407</v>
      </c>
    </row>
    <row r="258" s="93" customFormat="1" ht="20.1" customHeight="1" spans="1:16">
      <c r="A258" s="157" t="s">
        <v>1554</v>
      </c>
      <c r="B258" s="266" t="s">
        <v>1114</v>
      </c>
      <c r="C258" s="268"/>
      <c r="D258" s="268">
        <f t="shared" si="39"/>
        <v>0</v>
      </c>
      <c r="E258" s="268"/>
      <c r="F258" s="268"/>
      <c r="G258" s="268"/>
      <c r="H258" s="268"/>
      <c r="I258" s="268"/>
      <c r="J258" s="293"/>
      <c r="K258" s="276" t="s">
        <v>1087</v>
      </c>
      <c r="L258" s="33">
        <v>1</v>
      </c>
      <c r="M258" s="157" t="s">
        <v>1554</v>
      </c>
      <c r="N258" s="294"/>
      <c r="O258" s="157" t="s">
        <v>1547</v>
      </c>
      <c r="P258" s="289" t="s">
        <v>1115</v>
      </c>
    </row>
    <row r="259" s="93" customFormat="1" ht="20.1" customHeight="1" spans="1:16">
      <c r="A259" s="157" t="s">
        <v>1555</v>
      </c>
      <c r="B259" s="266" t="s">
        <v>1556</v>
      </c>
      <c r="C259" s="268"/>
      <c r="D259" s="268">
        <f t="shared" si="39"/>
        <v>0</v>
      </c>
      <c r="E259" s="268"/>
      <c r="F259" s="268"/>
      <c r="G259" s="268"/>
      <c r="H259" s="268"/>
      <c r="I259" s="268"/>
      <c r="J259" s="293"/>
      <c r="K259" s="276" t="s">
        <v>1087</v>
      </c>
      <c r="L259" s="33">
        <v>1</v>
      </c>
      <c r="M259" s="157" t="s">
        <v>1555</v>
      </c>
      <c r="N259" s="294"/>
      <c r="O259" s="157" t="s">
        <v>1547</v>
      </c>
      <c r="P259" s="289" t="s">
        <v>1557</v>
      </c>
    </row>
    <row r="260" s="93" customFormat="1" ht="20.1" customHeight="1" spans="1:16">
      <c r="A260" s="263" t="s">
        <v>1558</v>
      </c>
      <c r="B260" s="264" t="s">
        <v>1559</v>
      </c>
      <c r="C260" s="265">
        <f t="shared" ref="C260:I260" si="45">SUM(C261:C262)</f>
        <v>0</v>
      </c>
      <c r="D260" s="265">
        <f t="shared" si="39"/>
        <v>0</v>
      </c>
      <c r="E260" s="265">
        <f t="shared" si="45"/>
        <v>0</v>
      </c>
      <c r="F260" s="265">
        <f t="shared" si="45"/>
        <v>0</v>
      </c>
      <c r="G260" s="265">
        <f t="shared" si="45"/>
        <v>0</v>
      </c>
      <c r="H260" s="265">
        <f t="shared" si="45"/>
        <v>0</v>
      </c>
      <c r="I260" s="265">
        <f t="shared" si="45"/>
        <v>0</v>
      </c>
      <c r="J260" s="283"/>
      <c r="K260" s="284" t="s">
        <v>1082</v>
      </c>
      <c r="L260" s="285"/>
      <c r="M260" s="263" t="s">
        <v>1558</v>
      </c>
      <c r="N260" s="263" t="s">
        <v>485</v>
      </c>
      <c r="O260" s="263" t="s">
        <v>1558</v>
      </c>
      <c r="P260" s="292" t="s">
        <v>1560</v>
      </c>
    </row>
    <row r="261" s="93" customFormat="1" ht="20.1" customHeight="1" spans="1:16">
      <c r="A261" s="157" t="s">
        <v>1561</v>
      </c>
      <c r="B261" s="269" t="s">
        <v>1562</v>
      </c>
      <c r="C261" s="268"/>
      <c r="D261" s="268">
        <f t="shared" si="39"/>
        <v>0</v>
      </c>
      <c r="E261" s="268"/>
      <c r="F261" s="268"/>
      <c r="G261" s="268"/>
      <c r="H261" s="268"/>
      <c r="I261" s="268"/>
      <c r="J261" s="293"/>
      <c r="K261" s="276" t="s">
        <v>1087</v>
      </c>
      <c r="L261" s="33">
        <v>1</v>
      </c>
      <c r="M261" s="157" t="s">
        <v>1561</v>
      </c>
      <c r="N261" s="294"/>
      <c r="O261" s="157" t="s">
        <v>1558</v>
      </c>
      <c r="P261" s="290" t="s">
        <v>1563</v>
      </c>
    </row>
    <row r="262" s="93" customFormat="1" ht="20.1" customHeight="1" spans="1:16">
      <c r="A262" s="157" t="s">
        <v>1564</v>
      </c>
      <c r="B262" s="269" t="s">
        <v>1565</v>
      </c>
      <c r="C262" s="268"/>
      <c r="D262" s="268">
        <f t="shared" si="39"/>
        <v>0</v>
      </c>
      <c r="E262" s="268"/>
      <c r="F262" s="268"/>
      <c r="G262" s="268"/>
      <c r="H262" s="268"/>
      <c r="I262" s="268"/>
      <c r="J262" s="293"/>
      <c r="K262" s="276" t="s">
        <v>1087</v>
      </c>
      <c r="L262" s="33">
        <v>1</v>
      </c>
      <c r="M262" s="157" t="s">
        <v>1564</v>
      </c>
      <c r="N262" s="294"/>
      <c r="O262" s="157" t="s">
        <v>1558</v>
      </c>
      <c r="P262" s="290" t="s">
        <v>1566</v>
      </c>
    </row>
    <row r="263" s="93" customFormat="1" ht="20.1" customHeight="1" spans="1:16">
      <c r="A263" s="263" t="s">
        <v>1567</v>
      </c>
      <c r="B263" s="264" t="s">
        <v>1568</v>
      </c>
      <c r="C263" s="265">
        <f t="shared" ref="C263:I263" si="46">SUM(C264:C265)</f>
        <v>0</v>
      </c>
      <c r="D263" s="265">
        <f t="shared" si="39"/>
        <v>0</v>
      </c>
      <c r="E263" s="265">
        <f t="shared" si="46"/>
        <v>0</v>
      </c>
      <c r="F263" s="265">
        <f t="shared" si="46"/>
        <v>0</v>
      </c>
      <c r="G263" s="265">
        <f t="shared" si="46"/>
        <v>0</v>
      </c>
      <c r="H263" s="265">
        <f t="shared" si="46"/>
        <v>0</v>
      </c>
      <c r="I263" s="265">
        <f t="shared" si="46"/>
        <v>0</v>
      </c>
      <c r="J263" s="283"/>
      <c r="K263" s="284" t="s">
        <v>1082</v>
      </c>
      <c r="L263" s="285"/>
      <c r="M263" s="263" t="s">
        <v>1567</v>
      </c>
      <c r="N263" s="263" t="s">
        <v>485</v>
      </c>
      <c r="O263" s="263" t="s">
        <v>1567</v>
      </c>
      <c r="P263" s="292" t="s">
        <v>1560</v>
      </c>
    </row>
    <row r="264" s="93" customFormat="1" ht="20.1" customHeight="1" spans="1:16">
      <c r="A264" s="157" t="s">
        <v>1569</v>
      </c>
      <c r="B264" s="269" t="s">
        <v>1570</v>
      </c>
      <c r="C264" s="268"/>
      <c r="D264" s="268">
        <f t="shared" si="39"/>
        <v>0</v>
      </c>
      <c r="E264" s="268"/>
      <c r="F264" s="268"/>
      <c r="G264" s="268"/>
      <c r="H264" s="268"/>
      <c r="I264" s="268"/>
      <c r="J264" s="293"/>
      <c r="K264" s="276" t="s">
        <v>1087</v>
      </c>
      <c r="L264" s="33">
        <v>1</v>
      </c>
      <c r="M264" s="157" t="s">
        <v>1569</v>
      </c>
      <c r="N264" s="294"/>
      <c r="O264" s="157" t="s">
        <v>1567</v>
      </c>
      <c r="P264" s="290" t="s">
        <v>1571</v>
      </c>
    </row>
    <row r="265" s="93" customFormat="1" ht="20.1" customHeight="1" spans="1:16">
      <c r="A265" s="157" t="s">
        <v>1572</v>
      </c>
      <c r="B265" s="269" t="s">
        <v>1573</v>
      </c>
      <c r="C265" s="268"/>
      <c r="D265" s="268">
        <f t="shared" si="39"/>
        <v>0</v>
      </c>
      <c r="E265" s="268"/>
      <c r="F265" s="268"/>
      <c r="G265" s="268"/>
      <c r="H265" s="268"/>
      <c r="I265" s="268"/>
      <c r="J265" s="293"/>
      <c r="K265" s="276" t="s">
        <v>1087</v>
      </c>
      <c r="L265" s="33">
        <v>1</v>
      </c>
      <c r="M265" s="157" t="s">
        <v>1572</v>
      </c>
      <c r="N265" s="294"/>
      <c r="O265" s="157" t="s">
        <v>1567</v>
      </c>
      <c r="P265" s="290" t="s">
        <v>1574</v>
      </c>
    </row>
    <row r="266" s="93" customFormat="1" ht="20.1" customHeight="1" spans="1:16">
      <c r="A266" s="263" t="s">
        <v>1575</v>
      </c>
      <c r="B266" s="264" t="s">
        <v>1576</v>
      </c>
      <c r="C266" s="265">
        <f t="shared" ref="C266:I266" si="47">SUM(C267:C271)</f>
        <v>0</v>
      </c>
      <c r="D266" s="265">
        <f t="shared" si="39"/>
        <v>0</v>
      </c>
      <c r="E266" s="265">
        <f t="shared" si="47"/>
        <v>0</v>
      </c>
      <c r="F266" s="265">
        <f t="shared" si="47"/>
        <v>0</v>
      </c>
      <c r="G266" s="265">
        <f t="shared" si="47"/>
        <v>0</v>
      </c>
      <c r="H266" s="265">
        <f t="shared" si="47"/>
        <v>0</v>
      </c>
      <c r="I266" s="265">
        <f t="shared" si="47"/>
        <v>0</v>
      </c>
      <c r="J266" s="283"/>
      <c r="K266" s="284" t="s">
        <v>1082</v>
      </c>
      <c r="L266" s="285"/>
      <c r="M266" s="263" t="s">
        <v>1575</v>
      </c>
      <c r="N266" s="263" t="s">
        <v>485</v>
      </c>
      <c r="O266" s="263" t="s">
        <v>1575</v>
      </c>
      <c r="P266" s="292" t="s">
        <v>1549</v>
      </c>
    </row>
    <row r="267" s="93" customFormat="1" ht="20.1" customHeight="1" spans="1:16">
      <c r="A267" s="157" t="s">
        <v>1577</v>
      </c>
      <c r="B267" s="269" t="s">
        <v>1578</v>
      </c>
      <c r="C267" s="268"/>
      <c r="D267" s="268">
        <f t="shared" si="39"/>
        <v>0</v>
      </c>
      <c r="E267" s="268"/>
      <c r="F267" s="268"/>
      <c r="G267" s="268"/>
      <c r="H267" s="268"/>
      <c r="I267" s="268"/>
      <c r="J267" s="293"/>
      <c r="K267" s="276" t="s">
        <v>1087</v>
      </c>
      <c r="L267" s="33">
        <v>1</v>
      </c>
      <c r="M267" s="157" t="s">
        <v>1577</v>
      </c>
      <c r="N267" s="294"/>
      <c r="O267" s="157" t="s">
        <v>1575</v>
      </c>
      <c r="P267" s="290" t="s">
        <v>1579</v>
      </c>
    </row>
    <row r="268" s="93" customFormat="1" ht="20.1" customHeight="1" spans="1:16">
      <c r="A268" s="157" t="s">
        <v>1580</v>
      </c>
      <c r="B268" s="269" t="s">
        <v>1581</v>
      </c>
      <c r="C268" s="268"/>
      <c r="D268" s="268">
        <f t="shared" si="39"/>
        <v>0</v>
      </c>
      <c r="E268" s="268"/>
      <c r="F268" s="268"/>
      <c r="G268" s="268"/>
      <c r="H268" s="268"/>
      <c r="I268" s="268"/>
      <c r="J268" s="293"/>
      <c r="K268" s="276" t="s">
        <v>1087</v>
      </c>
      <c r="L268" s="33">
        <v>1</v>
      </c>
      <c r="M268" s="157" t="s">
        <v>1580</v>
      </c>
      <c r="N268" s="294"/>
      <c r="O268" s="157" t="s">
        <v>1575</v>
      </c>
      <c r="P268" s="290" t="s">
        <v>1582</v>
      </c>
    </row>
    <row r="269" s="93" customFormat="1" ht="20.1" customHeight="1" spans="1:16">
      <c r="A269" s="157" t="s">
        <v>1583</v>
      </c>
      <c r="B269" s="266" t="s">
        <v>1584</v>
      </c>
      <c r="C269" s="268"/>
      <c r="D269" s="268">
        <f t="shared" si="39"/>
        <v>0</v>
      </c>
      <c r="E269" s="268"/>
      <c r="F269" s="268"/>
      <c r="G269" s="268"/>
      <c r="H269" s="268"/>
      <c r="I269" s="268"/>
      <c r="J269" s="293"/>
      <c r="K269" s="276" t="s">
        <v>1087</v>
      </c>
      <c r="L269" s="33">
        <v>1</v>
      </c>
      <c r="M269" s="157" t="s">
        <v>1583</v>
      </c>
      <c r="N269" s="294"/>
      <c r="O269" s="157" t="s">
        <v>1575</v>
      </c>
      <c r="P269" s="289" t="s">
        <v>1585</v>
      </c>
    </row>
    <row r="270" s="93" customFormat="1" ht="20.1" customHeight="1" spans="1:16">
      <c r="A270" s="157" t="s">
        <v>1586</v>
      </c>
      <c r="B270" s="266" t="s">
        <v>1587</v>
      </c>
      <c r="C270" s="268"/>
      <c r="D270" s="268">
        <f t="shared" si="39"/>
        <v>0</v>
      </c>
      <c r="E270" s="268"/>
      <c r="F270" s="268"/>
      <c r="G270" s="268"/>
      <c r="H270" s="268"/>
      <c r="I270" s="268"/>
      <c r="J270" s="293"/>
      <c r="K270" s="276" t="s">
        <v>1087</v>
      </c>
      <c r="L270" s="33">
        <v>1</v>
      </c>
      <c r="M270" s="157" t="s">
        <v>1586</v>
      </c>
      <c r="N270" s="294"/>
      <c r="O270" s="157" t="s">
        <v>1575</v>
      </c>
      <c r="P270" s="289" t="s">
        <v>1588</v>
      </c>
    </row>
    <row r="271" s="93" customFormat="1" ht="20.1" customHeight="1" spans="1:16">
      <c r="A271" s="157" t="s">
        <v>1589</v>
      </c>
      <c r="B271" s="266" t="s">
        <v>1590</v>
      </c>
      <c r="C271" s="268"/>
      <c r="D271" s="268">
        <f t="shared" si="39"/>
        <v>0</v>
      </c>
      <c r="E271" s="268"/>
      <c r="F271" s="268"/>
      <c r="G271" s="268"/>
      <c r="H271" s="268"/>
      <c r="I271" s="268"/>
      <c r="J271" s="293"/>
      <c r="K271" s="276" t="s">
        <v>1087</v>
      </c>
      <c r="L271" s="33">
        <v>1</v>
      </c>
      <c r="M271" s="157" t="s">
        <v>1589</v>
      </c>
      <c r="N271" s="294"/>
      <c r="O271" s="157" t="s">
        <v>1575</v>
      </c>
      <c r="P271" s="289" t="s">
        <v>1591</v>
      </c>
    </row>
    <row r="272" s="93" customFormat="1" ht="20.1" customHeight="1" spans="1:16">
      <c r="A272" s="263" t="s">
        <v>486</v>
      </c>
      <c r="B272" s="264" t="s">
        <v>1592</v>
      </c>
      <c r="C272" s="265">
        <f t="shared" ref="C272:I272" si="48">SUM(C273:C276)</f>
        <v>0</v>
      </c>
      <c r="D272" s="265">
        <f t="shared" si="39"/>
        <v>0</v>
      </c>
      <c r="E272" s="265">
        <f t="shared" si="48"/>
        <v>0</v>
      </c>
      <c r="F272" s="265">
        <f t="shared" si="48"/>
        <v>0</v>
      </c>
      <c r="G272" s="265">
        <f t="shared" si="48"/>
        <v>0</v>
      </c>
      <c r="H272" s="265">
        <f t="shared" si="48"/>
        <v>0</v>
      </c>
      <c r="I272" s="265">
        <f t="shared" si="48"/>
        <v>0</v>
      </c>
      <c r="J272" s="283"/>
      <c r="K272" s="284" t="s">
        <v>1082</v>
      </c>
      <c r="L272" s="285"/>
      <c r="M272" s="263" t="s">
        <v>486</v>
      </c>
      <c r="N272" s="263" t="s">
        <v>485</v>
      </c>
      <c r="O272" s="263" t="s">
        <v>486</v>
      </c>
      <c r="P272" s="292" t="s">
        <v>1593</v>
      </c>
    </row>
    <row r="273" s="93" customFormat="1" ht="20.1" customHeight="1" spans="1:16">
      <c r="A273" s="157" t="s">
        <v>1594</v>
      </c>
      <c r="B273" s="269" t="s">
        <v>1595</v>
      </c>
      <c r="C273" s="268"/>
      <c r="D273" s="268">
        <f t="shared" si="39"/>
        <v>0</v>
      </c>
      <c r="E273" s="268"/>
      <c r="F273" s="268"/>
      <c r="G273" s="268"/>
      <c r="H273" s="268"/>
      <c r="I273" s="268"/>
      <c r="J273" s="293"/>
      <c r="K273" s="276" t="s">
        <v>1087</v>
      </c>
      <c r="L273" s="33">
        <v>1</v>
      </c>
      <c r="M273" s="157" t="s">
        <v>1594</v>
      </c>
      <c r="N273" s="294"/>
      <c r="O273" s="157" t="s">
        <v>486</v>
      </c>
      <c r="P273" s="290" t="s">
        <v>1596</v>
      </c>
    </row>
    <row r="274" s="93" customFormat="1" ht="20.1" customHeight="1" spans="1:16">
      <c r="A274" s="157" t="s">
        <v>1597</v>
      </c>
      <c r="B274" s="269" t="s">
        <v>1598</v>
      </c>
      <c r="C274" s="268"/>
      <c r="D274" s="268">
        <f t="shared" si="39"/>
        <v>0</v>
      </c>
      <c r="E274" s="268"/>
      <c r="F274" s="268"/>
      <c r="G274" s="268"/>
      <c r="H274" s="268"/>
      <c r="I274" s="268"/>
      <c r="J274" s="293"/>
      <c r="K274" s="276" t="s">
        <v>1087</v>
      </c>
      <c r="L274" s="33">
        <v>1</v>
      </c>
      <c r="M274" s="157" t="s">
        <v>1597</v>
      </c>
      <c r="N274" s="294"/>
      <c r="O274" s="157" t="s">
        <v>486</v>
      </c>
      <c r="P274" s="290" t="s">
        <v>1599</v>
      </c>
    </row>
    <row r="275" s="93" customFormat="1" ht="20.1" customHeight="1" spans="1:16">
      <c r="A275" s="157" t="s">
        <v>1600</v>
      </c>
      <c r="B275" s="266" t="s">
        <v>1601</v>
      </c>
      <c r="C275" s="268"/>
      <c r="D275" s="268">
        <f t="shared" si="39"/>
        <v>0</v>
      </c>
      <c r="E275" s="268"/>
      <c r="F275" s="268"/>
      <c r="G275" s="268"/>
      <c r="H275" s="268"/>
      <c r="I275" s="268"/>
      <c r="J275" s="293"/>
      <c r="K275" s="276" t="s">
        <v>1087</v>
      </c>
      <c r="L275" s="33">
        <v>1</v>
      </c>
      <c r="M275" s="157" t="s">
        <v>1600</v>
      </c>
      <c r="N275" s="294"/>
      <c r="O275" s="157" t="s">
        <v>486</v>
      </c>
      <c r="P275" s="289" t="s">
        <v>1602</v>
      </c>
    </row>
    <row r="276" s="93" customFormat="1" ht="20.1" customHeight="1" spans="1:16">
      <c r="A276" s="157" t="s">
        <v>1603</v>
      </c>
      <c r="B276" s="266" t="s">
        <v>1604</v>
      </c>
      <c r="C276" s="268"/>
      <c r="D276" s="268">
        <f t="shared" si="39"/>
        <v>0</v>
      </c>
      <c r="E276" s="268"/>
      <c r="F276" s="268"/>
      <c r="G276" s="268"/>
      <c r="H276" s="268"/>
      <c r="I276" s="268"/>
      <c r="J276" s="293"/>
      <c r="K276" s="276" t="s">
        <v>1087</v>
      </c>
      <c r="L276" s="33">
        <v>1</v>
      </c>
      <c r="M276" s="157" t="s">
        <v>1603</v>
      </c>
      <c r="N276" s="294"/>
      <c r="O276" s="157" t="s">
        <v>486</v>
      </c>
      <c r="P276" s="289" t="s">
        <v>1605</v>
      </c>
    </row>
    <row r="277" s="93" customFormat="1" ht="20.1" customHeight="1" spans="1:16">
      <c r="A277" s="263" t="s">
        <v>1606</v>
      </c>
      <c r="B277" s="264" t="s">
        <v>1607</v>
      </c>
      <c r="C277" s="265">
        <f t="shared" ref="C277:I277" si="49">SUM(C278:C278)</f>
        <v>0</v>
      </c>
      <c r="D277" s="265">
        <f t="shared" si="39"/>
        <v>0</v>
      </c>
      <c r="E277" s="265">
        <f t="shared" si="49"/>
        <v>0</v>
      </c>
      <c r="F277" s="265">
        <f t="shared" si="49"/>
        <v>0</v>
      </c>
      <c r="G277" s="265">
        <f t="shared" si="49"/>
        <v>0</v>
      </c>
      <c r="H277" s="265">
        <f t="shared" si="49"/>
        <v>0</v>
      </c>
      <c r="I277" s="265">
        <f t="shared" si="49"/>
        <v>0</v>
      </c>
      <c r="J277" s="283"/>
      <c r="K277" s="284" t="s">
        <v>1082</v>
      </c>
      <c r="L277" s="285"/>
      <c r="M277" s="263" t="s">
        <v>1606</v>
      </c>
      <c r="N277" s="263" t="s">
        <v>485</v>
      </c>
      <c r="O277" s="263" t="s">
        <v>1606</v>
      </c>
      <c r="P277" s="292" t="s">
        <v>1608</v>
      </c>
    </row>
    <row r="278" s="93" customFormat="1" ht="20.1" customHeight="1" spans="1:16">
      <c r="A278" s="157" t="s">
        <v>1609</v>
      </c>
      <c r="B278" s="269" t="s">
        <v>1610</v>
      </c>
      <c r="C278" s="268"/>
      <c r="D278" s="268">
        <f t="shared" si="39"/>
        <v>0</v>
      </c>
      <c r="E278" s="268"/>
      <c r="F278" s="268"/>
      <c r="G278" s="268"/>
      <c r="H278" s="268"/>
      <c r="I278" s="268"/>
      <c r="J278" s="293"/>
      <c r="K278" s="276" t="s">
        <v>1087</v>
      </c>
      <c r="L278" s="33">
        <v>1</v>
      </c>
      <c r="M278" s="157" t="s">
        <v>1609</v>
      </c>
      <c r="N278" s="294"/>
      <c r="O278" s="157" t="s">
        <v>1606</v>
      </c>
      <c r="P278" s="290" t="s">
        <v>1608</v>
      </c>
    </row>
    <row r="279" s="93" customFormat="1" ht="20.1" customHeight="1" spans="1:16">
      <c r="A279" s="263" t="s">
        <v>1611</v>
      </c>
      <c r="B279" s="264" t="s">
        <v>1612</v>
      </c>
      <c r="C279" s="265">
        <f t="shared" ref="C279:I279" si="50">SUM(C280:C283)</f>
        <v>0</v>
      </c>
      <c r="D279" s="265">
        <f t="shared" si="39"/>
        <v>0</v>
      </c>
      <c r="E279" s="265">
        <f t="shared" si="50"/>
        <v>0</v>
      </c>
      <c r="F279" s="265">
        <f t="shared" si="50"/>
        <v>0</v>
      </c>
      <c r="G279" s="265">
        <f t="shared" si="50"/>
        <v>0</v>
      </c>
      <c r="H279" s="265">
        <f t="shared" si="50"/>
        <v>0</v>
      </c>
      <c r="I279" s="265">
        <f t="shared" si="50"/>
        <v>0</v>
      </c>
      <c r="J279" s="283"/>
      <c r="K279" s="284" t="s">
        <v>1082</v>
      </c>
      <c r="L279" s="285"/>
      <c r="M279" s="263" t="s">
        <v>1611</v>
      </c>
      <c r="N279" s="263" t="s">
        <v>485</v>
      </c>
      <c r="O279" s="263" t="s">
        <v>1611</v>
      </c>
      <c r="P279" s="292" t="s">
        <v>1613</v>
      </c>
    </row>
    <row r="280" s="93" customFormat="1" ht="20.1" customHeight="1" spans="1:16">
      <c r="A280" s="157" t="s">
        <v>1614</v>
      </c>
      <c r="B280" s="269" t="s">
        <v>1615</v>
      </c>
      <c r="C280" s="268"/>
      <c r="D280" s="268">
        <f t="shared" si="39"/>
        <v>0</v>
      </c>
      <c r="E280" s="268"/>
      <c r="F280" s="268"/>
      <c r="G280" s="268"/>
      <c r="H280" s="268"/>
      <c r="I280" s="268"/>
      <c r="J280" s="293"/>
      <c r="K280" s="276" t="s">
        <v>1087</v>
      </c>
      <c r="L280" s="33">
        <v>1</v>
      </c>
      <c r="M280" s="157" t="s">
        <v>1614</v>
      </c>
      <c r="N280" s="294"/>
      <c r="O280" s="157" t="s">
        <v>1611</v>
      </c>
      <c r="P280" s="290" t="s">
        <v>1616</v>
      </c>
    </row>
    <row r="281" s="93" customFormat="1" ht="20.1" customHeight="1" spans="1:16">
      <c r="A281" s="157" t="s">
        <v>1617</v>
      </c>
      <c r="B281" s="269" t="s">
        <v>1618</v>
      </c>
      <c r="C281" s="268"/>
      <c r="D281" s="268">
        <f t="shared" si="39"/>
        <v>0</v>
      </c>
      <c r="E281" s="268"/>
      <c r="F281" s="268"/>
      <c r="G281" s="268"/>
      <c r="H281" s="268"/>
      <c r="I281" s="268"/>
      <c r="J281" s="293"/>
      <c r="K281" s="276" t="s">
        <v>1087</v>
      </c>
      <c r="L281" s="33">
        <v>1</v>
      </c>
      <c r="M281" s="157" t="s">
        <v>1617</v>
      </c>
      <c r="N281" s="294"/>
      <c r="O281" s="157" t="s">
        <v>1611</v>
      </c>
      <c r="P281" s="290" t="s">
        <v>1619</v>
      </c>
    </row>
    <row r="282" s="93" customFormat="1" ht="20.1" customHeight="1" spans="1:16">
      <c r="A282" s="157" t="s">
        <v>1620</v>
      </c>
      <c r="B282" s="266" t="s">
        <v>1621</v>
      </c>
      <c r="C282" s="268"/>
      <c r="D282" s="268">
        <f t="shared" si="39"/>
        <v>0</v>
      </c>
      <c r="E282" s="268"/>
      <c r="F282" s="268"/>
      <c r="G282" s="268"/>
      <c r="H282" s="268"/>
      <c r="I282" s="268"/>
      <c r="J282" s="293"/>
      <c r="K282" s="276" t="s">
        <v>1087</v>
      </c>
      <c r="L282" s="33">
        <v>1</v>
      </c>
      <c r="M282" s="157" t="s">
        <v>1620</v>
      </c>
      <c r="N282" s="294"/>
      <c r="O282" s="157" t="s">
        <v>1611</v>
      </c>
      <c r="P282" s="289" t="s">
        <v>1622</v>
      </c>
    </row>
    <row r="283" s="93" customFormat="1" ht="20.1" customHeight="1" spans="1:16">
      <c r="A283" s="157" t="s">
        <v>1623</v>
      </c>
      <c r="B283" s="266" t="s">
        <v>189</v>
      </c>
      <c r="C283" s="268"/>
      <c r="D283" s="268">
        <f t="shared" si="39"/>
        <v>0</v>
      </c>
      <c r="E283" s="268"/>
      <c r="F283" s="268"/>
      <c r="G283" s="268"/>
      <c r="H283" s="268"/>
      <c r="I283" s="268"/>
      <c r="J283" s="293"/>
      <c r="K283" s="276" t="s">
        <v>1087</v>
      </c>
      <c r="L283" s="33">
        <v>1</v>
      </c>
      <c r="M283" s="157" t="s">
        <v>1623</v>
      </c>
      <c r="N283" s="294"/>
      <c r="O283" s="157" t="s">
        <v>1611</v>
      </c>
      <c r="P283" s="289" t="s">
        <v>1624</v>
      </c>
    </row>
    <row r="284" s="93" customFormat="1" ht="20.1" customHeight="1" spans="1:16">
      <c r="A284" s="263" t="s">
        <v>1625</v>
      </c>
      <c r="B284" s="264" t="s">
        <v>1626</v>
      </c>
      <c r="C284" s="265">
        <f t="shared" ref="C284:I284" si="51">SUM(C285:C289)</f>
        <v>0</v>
      </c>
      <c r="D284" s="265">
        <f t="shared" si="39"/>
        <v>0</v>
      </c>
      <c r="E284" s="265">
        <f t="shared" si="51"/>
        <v>0</v>
      </c>
      <c r="F284" s="265">
        <f t="shared" si="51"/>
        <v>0</v>
      </c>
      <c r="G284" s="265">
        <f t="shared" si="51"/>
        <v>0</v>
      </c>
      <c r="H284" s="265">
        <f t="shared" si="51"/>
        <v>0</v>
      </c>
      <c r="I284" s="265">
        <f t="shared" si="51"/>
        <v>0</v>
      </c>
      <c r="J284" s="283"/>
      <c r="K284" s="284" t="s">
        <v>1082</v>
      </c>
      <c r="L284" s="285"/>
      <c r="M284" s="263" t="s">
        <v>1625</v>
      </c>
      <c r="N284" s="263" t="s">
        <v>485</v>
      </c>
      <c r="O284" s="263" t="s">
        <v>1625</v>
      </c>
      <c r="P284" s="292" t="s">
        <v>1627</v>
      </c>
    </row>
    <row r="285" s="93" customFormat="1" ht="20.1" customHeight="1" spans="1:16">
      <c r="A285" s="157" t="s">
        <v>1628</v>
      </c>
      <c r="B285" s="269" t="s">
        <v>1086</v>
      </c>
      <c r="C285" s="268"/>
      <c r="D285" s="268">
        <f t="shared" si="39"/>
        <v>0</v>
      </c>
      <c r="E285" s="268"/>
      <c r="F285" s="268"/>
      <c r="G285" s="268"/>
      <c r="H285" s="268"/>
      <c r="I285" s="268"/>
      <c r="J285" s="293"/>
      <c r="K285" s="276" t="s">
        <v>1087</v>
      </c>
      <c r="L285" s="33">
        <v>1</v>
      </c>
      <c r="M285" s="157" t="s">
        <v>1628</v>
      </c>
      <c r="N285" s="294"/>
      <c r="O285" s="157" t="s">
        <v>1625</v>
      </c>
      <c r="P285" s="290" t="s">
        <v>1088</v>
      </c>
    </row>
    <row r="286" s="93" customFormat="1" ht="20.1" customHeight="1" spans="1:16">
      <c r="A286" s="157" t="s">
        <v>1629</v>
      </c>
      <c r="B286" s="269" t="s">
        <v>1090</v>
      </c>
      <c r="C286" s="268"/>
      <c r="D286" s="268">
        <f t="shared" si="39"/>
        <v>0</v>
      </c>
      <c r="E286" s="268"/>
      <c r="F286" s="268"/>
      <c r="G286" s="268"/>
      <c r="H286" s="268"/>
      <c r="I286" s="268"/>
      <c r="J286" s="293"/>
      <c r="K286" s="276" t="s">
        <v>1087</v>
      </c>
      <c r="L286" s="33">
        <v>1</v>
      </c>
      <c r="M286" s="157" t="s">
        <v>1629</v>
      </c>
      <c r="N286" s="294"/>
      <c r="O286" s="157" t="s">
        <v>1625</v>
      </c>
      <c r="P286" s="290" t="s">
        <v>1091</v>
      </c>
    </row>
    <row r="287" s="93" customFormat="1" ht="20.1" customHeight="1" spans="1:16">
      <c r="A287" s="157" t="s">
        <v>1630</v>
      </c>
      <c r="B287" s="266" t="s">
        <v>1093</v>
      </c>
      <c r="C287" s="268"/>
      <c r="D287" s="268">
        <f t="shared" si="39"/>
        <v>0</v>
      </c>
      <c r="E287" s="268"/>
      <c r="F287" s="268"/>
      <c r="G287" s="268"/>
      <c r="H287" s="268"/>
      <c r="I287" s="268"/>
      <c r="J287" s="293"/>
      <c r="K287" s="276" t="s">
        <v>1087</v>
      </c>
      <c r="L287" s="33">
        <v>1</v>
      </c>
      <c r="M287" s="157" t="s">
        <v>1630</v>
      </c>
      <c r="N287" s="294"/>
      <c r="O287" s="157" t="s">
        <v>1625</v>
      </c>
      <c r="P287" s="289" t="s">
        <v>1094</v>
      </c>
    </row>
    <row r="288" s="93" customFormat="1" ht="20.1" customHeight="1" spans="1:16">
      <c r="A288" s="157" t="s">
        <v>1631</v>
      </c>
      <c r="B288" s="266" t="s">
        <v>1114</v>
      </c>
      <c r="C288" s="268"/>
      <c r="D288" s="268">
        <f t="shared" si="39"/>
        <v>0</v>
      </c>
      <c r="E288" s="268"/>
      <c r="F288" s="268"/>
      <c r="G288" s="268"/>
      <c r="H288" s="268"/>
      <c r="I288" s="268"/>
      <c r="J288" s="293"/>
      <c r="K288" s="276" t="s">
        <v>1087</v>
      </c>
      <c r="L288" s="33">
        <v>1</v>
      </c>
      <c r="M288" s="157" t="s">
        <v>1631</v>
      </c>
      <c r="N288" s="294"/>
      <c r="O288" s="157" t="s">
        <v>1625</v>
      </c>
      <c r="P288" s="289" t="s">
        <v>1115</v>
      </c>
    </row>
    <row r="289" s="93" customFormat="1" ht="20.1" customHeight="1" spans="1:16">
      <c r="A289" s="157" t="s">
        <v>1632</v>
      </c>
      <c r="B289" s="266" t="s">
        <v>1633</v>
      </c>
      <c r="C289" s="268"/>
      <c r="D289" s="268">
        <f t="shared" si="39"/>
        <v>0</v>
      </c>
      <c r="E289" s="268"/>
      <c r="F289" s="268"/>
      <c r="G289" s="268"/>
      <c r="H289" s="268"/>
      <c r="I289" s="268"/>
      <c r="J289" s="293"/>
      <c r="K289" s="276" t="s">
        <v>1087</v>
      </c>
      <c r="L289" s="33">
        <v>1</v>
      </c>
      <c r="M289" s="157" t="s">
        <v>1632</v>
      </c>
      <c r="N289" s="294"/>
      <c r="O289" s="157" t="s">
        <v>1625</v>
      </c>
      <c r="P289" s="289" t="s">
        <v>1634</v>
      </c>
    </row>
    <row r="290" s="93" customFormat="1" ht="20.1" customHeight="1" spans="1:16">
      <c r="A290" s="263" t="s">
        <v>487</v>
      </c>
      <c r="B290" s="264" t="s">
        <v>1635</v>
      </c>
      <c r="C290" s="265">
        <f t="shared" ref="C290:I290" si="52">SUM(C291:C291)</f>
        <v>0</v>
      </c>
      <c r="D290" s="265">
        <f t="shared" si="39"/>
        <v>0</v>
      </c>
      <c r="E290" s="265">
        <f t="shared" si="52"/>
        <v>0</v>
      </c>
      <c r="F290" s="265">
        <f t="shared" si="52"/>
        <v>0</v>
      </c>
      <c r="G290" s="265">
        <f t="shared" si="52"/>
        <v>0</v>
      </c>
      <c r="H290" s="265">
        <f t="shared" si="52"/>
        <v>0</v>
      </c>
      <c r="I290" s="265">
        <f t="shared" si="52"/>
        <v>0</v>
      </c>
      <c r="J290" s="283"/>
      <c r="K290" s="284" t="s">
        <v>1082</v>
      </c>
      <c r="L290" s="285"/>
      <c r="M290" s="263" t="s">
        <v>487</v>
      </c>
      <c r="N290" s="263" t="s">
        <v>485</v>
      </c>
      <c r="O290" s="263" t="s">
        <v>487</v>
      </c>
      <c r="P290" s="292" t="s">
        <v>1636</v>
      </c>
    </row>
    <row r="291" s="93" customFormat="1" ht="20.1" customHeight="1" spans="1:16">
      <c r="A291" s="157" t="s">
        <v>1637</v>
      </c>
      <c r="B291" s="269" t="s">
        <v>1638</v>
      </c>
      <c r="C291" s="268"/>
      <c r="D291" s="268">
        <f t="shared" si="39"/>
        <v>0</v>
      </c>
      <c r="E291" s="268"/>
      <c r="F291" s="268"/>
      <c r="G291" s="268"/>
      <c r="H291" s="268"/>
      <c r="I291" s="268"/>
      <c r="J291" s="293"/>
      <c r="K291" s="276" t="s">
        <v>1087</v>
      </c>
      <c r="L291" s="33">
        <v>1</v>
      </c>
      <c r="M291" s="157" t="s">
        <v>1637</v>
      </c>
      <c r="N291" s="294"/>
      <c r="O291" s="157" t="s">
        <v>487</v>
      </c>
      <c r="P291" s="290" t="s">
        <v>1636</v>
      </c>
    </row>
    <row r="292" s="93" customFormat="1" ht="20.1" customHeight="1" spans="1:16">
      <c r="A292" s="154" t="s">
        <v>488</v>
      </c>
      <c r="B292" s="261" t="s">
        <v>254</v>
      </c>
      <c r="C292" s="262">
        <f t="shared" ref="C292:I292" si="53">C293+C297+C299+C301+C309</f>
        <v>327</v>
      </c>
      <c r="D292" s="262">
        <f t="shared" si="39"/>
        <v>20</v>
      </c>
      <c r="E292" s="262">
        <f t="shared" si="53"/>
        <v>0</v>
      </c>
      <c r="F292" s="262">
        <f t="shared" si="53"/>
        <v>0</v>
      </c>
      <c r="G292" s="262">
        <f t="shared" si="53"/>
        <v>0</v>
      </c>
      <c r="H292" s="262">
        <f t="shared" si="53"/>
        <v>0</v>
      </c>
      <c r="I292" s="262">
        <f t="shared" si="53"/>
        <v>20</v>
      </c>
      <c r="J292" s="279">
        <f t="shared" ref="J292:J296" si="54">ROUND(IF(C292=0,IF(D292=0,0,1),IF(D292=0,-1,D292/C292)),4)*100</f>
        <v>6.12</v>
      </c>
      <c r="K292" s="280" t="s">
        <v>1081</v>
      </c>
      <c r="L292" s="281"/>
      <c r="M292" s="154" t="s">
        <v>488</v>
      </c>
      <c r="N292" s="154" t="s">
        <v>488</v>
      </c>
      <c r="O292" s="154" t="s">
        <v>488</v>
      </c>
      <c r="P292" s="282" t="s">
        <v>1639</v>
      </c>
    </row>
    <row r="293" s="93" customFormat="1" ht="20.1" customHeight="1" spans="1:16">
      <c r="A293" s="263" t="s">
        <v>1640</v>
      </c>
      <c r="B293" s="264" t="s">
        <v>1641</v>
      </c>
      <c r="C293" s="265">
        <f t="shared" ref="C293:I293" si="55">SUM(C294:C296)</f>
        <v>0</v>
      </c>
      <c r="D293" s="265">
        <f t="shared" si="39"/>
        <v>0</v>
      </c>
      <c r="E293" s="265">
        <f t="shared" si="55"/>
        <v>0</v>
      </c>
      <c r="F293" s="265">
        <f t="shared" si="55"/>
        <v>0</v>
      </c>
      <c r="G293" s="265">
        <f t="shared" si="55"/>
        <v>0</v>
      </c>
      <c r="H293" s="265">
        <f t="shared" si="55"/>
        <v>0</v>
      </c>
      <c r="I293" s="265">
        <f t="shared" si="55"/>
        <v>0</v>
      </c>
      <c r="J293" s="283">
        <f t="shared" si="54"/>
        <v>0</v>
      </c>
      <c r="K293" s="284" t="s">
        <v>1082</v>
      </c>
      <c r="L293" s="285"/>
      <c r="M293" s="263" t="s">
        <v>1640</v>
      </c>
      <c r="N293" s="263" t="s">
        <v>488</v>
      </c>
      <c r="O293" s="263" t="s">
        <v>1640</v>
      </c>
      <c r="P293" s="286" t="s">
        <v>1642</v>
      </c>
    </row>
    <row r="294" s="92" customFormat="1" ht="20.1" customHeight="1" spans="1:16">
      <c r="A294" s="157" t="s">
        <v>1643</v>
      </c>
      <c r="B294" s="269" t="s">
        <v>1644</v>
      </c>
      <c r="C294" s="267"/>
      <c r="D294" s="268">
        <f t="shared" si="39"/>
        <v>0</v>
      </c>
      <c r="E294" s="267"/>
      <c r="F294" s="267"/>
      <c r="G294" s="267"/>
      <c r="H294" s="267"/>
      <c r="I294" s="287"/>
      <c r="J294" s="288">
        <f t="shared" si="54"/>
        <v>0</v>
      </c>
      <c r="K294" s="276" t="s">
        <v>1087</v>
      </c>
      <c r="L294" s="33">
        <v>1</v>
      </c>
      <c r="M294" s="157" t="s">
        <v>1643</v>
      </c>
      <c r="N294" s="157"/>
      <c r="O294" s="157" t="s">
        <v>1640</v>
      </c>
      <c r="P294" s="290" t="s">
        <v>1645</v>
      </c>
    </row>
    <row r="295" s="92" customFormat="1" ht="20.1" customHeight="1" spans="1:16">
      <c r="A295" s="157" t="s">
        <v>1646</v>
      </c>
      <c r="B295" s="266" t="s">
        <v>1647</v>
      </c>
      <c r="C295" s="267">
        <v>0</v>
      </c>
      <c r="D295" s="268">
        <f t="shared" si="39"/>
        <v>0</v>
      </c>
      <c r="E295" s="267"/>
      <c r="F295" s="267"/>
      <c r="G295" s="267"/>
      <c r="H295" s="267"/>
      <c r="I295" s="287"/>
      <c r="J295" s="288">
        <f t="shared" si="54"/>
        <v>0</v>
      </c>
      <c r="K295" s="276" t="s">
        <v>1087</v>
      </c>
      <c r="L295" s="33">
        <v>1</v>
      </c>
      <c r="M295" s="157" t="s">
        <v>1646</v>
      </c>
      <c r="N295" s="157"/>
      <c r="O295" s="157" t="s">
        <v>1640</v>
      </c>
      <c r="P295" s="289" t="s">
        <v>1648</v>
      </c>
    </row>
    <row r="296" s="92" customFormat="1" ht="20.1" customHeight="1" spans="1:16">
      <c r="A296" s="157" t="s">
        <v>1649</v>
      </c>
      <c r="B296" s="266" t="s">
        <v>1650</v>
      </c>
      <c r="C296" s="267"/>
      <c r="D296" s="268">
        <f t="shared" si="39"/>
        <v>0</v>
      </c>
      <c r="E296" s="267"/>
      <c r="F296" s="267"/>
      <c r="G296" s="267"/>
      <c r="H296" s="267"/>
      <c r="I296" s="287"/>
      <c r="J296" s="288">
        <f t="shared" si="54"/>
        <v>0</v>
      </c>
      <c r="K296" s="276" t="s">
        <v>1087</v>
      </c>
      <c r="L296" s="33">
        <v>1</v>
      </c>
      <c r="M296" s="157" t="s">
        <v>1649</v>
      </c>
      <c r="N296" s="157"/>
      <c r="O296" s="157" t="s">
        <v>1640</v>
      </c>
      <c r="P296" s="289" t="s">
        <v>1651</v>
      </c>
    </row>
    <row r="297" s="93" customFormat="1" ht="20.1" customHeight="1" spans="1:16">
      <c r="A297" s="263" t="s">
        <v>1652</v>
      </c>
      <c r="B297" s="264" t="s">
        <v>1653</v>
      </c>
      <c r="C297" s="265">
        <f t="shared" ref="C297:I297" si="56">SUM(C298:C298)</f>
        <v>0</v>
      </c>
      <c r="D297" s="265">
        <f t="shared" si="39"/>
        <v>0</v>
      </c>
      <c r="E297" s="265">
        <f t="shared" si="56"/>
        <v>0</v>
      </c>
      <c r="F297" s="265">
        <f t="shared" si="56"/>
        <v>0</v>
      </c>
      <c r="G297" s="265">
        <f t="shared" si="56"/>
        <v>0</v>
      </c>
      <c r="H297" s="265">
        <f t="shared" si="56"/>
        <v>0</v>
      </c>
      <c r="I297" s="265">
        <f t="shared" si="56"/>
        <v>0</v>
      </c>
      <c r="J297" s="283"/>
      <c r="K297" s="284" t="s">
        <v>1082</v>
      </c>
      <c r="L297" s="285"/>
      <c r="M297" s="263" t="s">
        <v>1654</v>
      </c>
      <c r="N297" s="263" t="s">
        <v>488</v>
      </c>
      <c r="O297" s="263" t="s">
        <v>1654</v>
      </c>
      <c r="P297" s="292" t="s">
        <v>1655</v>
      </c>
    </row>
    <row r="298" s="93" customFormat="1" ht="20.1" customHeight="1" spans="1:16">
      <c r="A298" s="157" t="s">
        <v>1652</v>
      </c>
      <c r="B298" s="269" t="s">
        <v>1656</v>
      </c>
      <c r="C298" s="268"/>
      <c r="D298" s="268">
        <f t="shared" si="39"/>
        <v>0</v>
      </c>
      <c r="E298" s="268"/>
      <c r="F298" s="268"/>
      <c r="G298" s="268"/>
      <c r="H298" s="268"/>
      <c r="I298" s="268"/>
      <c r="J298" s="293"/>
      <c r="K298" s="276" t="s">
        <v>1087</v>
      </c>
      <c r="L298" s="33">
        <v>1</v>
      </c>
      <c r="M298" s="157" t="s">
        <v>1652</v>
      </c>
      <c r="N298" s="294"/>
      <c r="O298" s="157" t="s">
        <v>1654</v>
      </c>
      <c r="P298" s="290" t="s">
        <v>1655</v>
      </c>
    </row>
    <row r="299" s="93" customFormat="1" ht="20.1" customHeight="1" spans="1:16">
      <c r="A299" s="263" t="s">
        <v>1657</v>
      </c>
      <c r="B299" s="264" t="s">
        <v>1658</v>
      </c>
      <c r="C299" s="265">
        <f t="shared" ref="C299:I299" si="57">SUM(C300:C300)</f>
        <v>0</v>
      </c>
      <c r="D299" s="265">
        <f t="shared" si="39"/>
        <v>0</v>
      </c>
      <c r="E299" s="265">
        <f t="shared" si="57"/>
        <v>0</v>
      </c>
      <c r="F299" s="265">
        <f t="shared" si="57"/>
        <v>0</v>
      </c>
      <c r="G299" s="265">
        <f t="shared" si="57"/>
        <v>0</v>
      </c>
      <c r="H299" s="265">
        <f t="shared" si="57"/>
        <v>0</v>
      </c>
      <c r="I299" s="265">
        <f t="shared" si="57"/>
        <v>0</v>
      </c>
      <c r="J299" s="283"/>
      <c r="K299" s="284" t="s">
        <v>1082</v>
      </c>
      <c r="L299" s="285"/>
      <c r="M299" s="263" t="s">
        <v>1657</v>
      </c>
      <c r="N299" s="263" t="s">
        <v>488</v>
      </c>
      <c r="O299" s="263" t="s">
        <v>1657</v>
      </c>
      <c r="P299" s="292" t="s">
        <v>1659</v>
      </c>
    </row>
    <row r="300" s="93" customFormat="1" ht="20.1" customHeight="1" spans="1:16">
      <c r="A300" s="157" t="s">
        <v>1660</v>
      </c>
      <c r="B300" s="269" t="s">
        <v>1661</v>
      </c>
      <c r="C300" s="268"/>
      <c r="D300" s="268">
        <f t="shared" si="39"/>
        <v>0</v>
      </c>
      <c r="E300" s="268"/>
      <c r="F300" s="268"/>
      <c r="G300" s="268"/>
      <c r="H300" s="268"/>
      <c r="I300" s="268"/>
      <c r="J300" s="293"/>
      <c r="K300" s="276" t="s">
        <v>1087</v>
      </c>
      <c r="L300" s="33">
        <v>1</v>
      </c>
      <c r="M300" s="157" t="s">
        <v>1660</v>
      </c>
      <c r="N300" s="294"/>
      <c r="O300" s="157" t="s">
        <v>1657</v>
      </c>
      <c r="P300" s="290" t="s">
        <v>1659</v>
      </c>
    </row>
    <row r="301" s="93" customFormat="1" ht="20.1" customHeight="1" spans="1:16">
      <c r="A301" s="263" t="s">
        <v>489</v>
      </c>
      <c r="B301" s="264" t="s">
        <v>255</v>
      </c>
      <c r="C301" s="265">
        <f t="shared" ref="C301:I301" si="58">SUM(C302:C308)</f>
        <v>308</v>
      </c>
      <c r="D301" s="265">
        <f t="shared" si="39"/>
        <v>20</v>
      </c>
      <c r="E301" s="265">
        <f t="shared" si="58"/>
        <v>0</v>
      </c>
      <c r="F301" s="265">
        <f t="shared" si="58"/>
        <v>0</v>
      </c>
      <c r="G301" s="265">
        <f t="shared" si="58"/>
        <v>0</v>
      </c>
      <c r="H301" s="265">
        <f t="shared" si="58"/>
        <v>0</v>
      </c>
      <c r="I301" s="265">
        <f t="shared" si="58"/>
        <v>20</v>
      </c>
      <c r="J301" s="283">
        <f t="shared" ref="J301:J309" si="59">ROUND(IF(C301=0,IF(D301=0,0,1),IF(D301=0,-1,D301/C301)),4)*100</f>
        <v>6.49</v>
      </c>
      <c r="K301" s="284" t="s">
        <v>1082</v>
      </c>
      <c r="L301" s="285"/>
      <c r="M301" s="263" t="s">
        <v>489</v>
      </c>
      <c r="N301" s="263" t="s">
        <v>488</v>
      </c>
      <c r="O301" s="263" t="s">
        <v>489</v>
      </c>
      <c r="P301" s="286" t="s">
        <v>1642</v>
      </c>
    </row>
    <row r="302" s="92" customFormat="1" ht="20.1" customHeight="1" spans="1:16">
      <c r="A302" s="157" t="s">
        <v>1662</v>
      </c>
      <c r="B302" s="269" t="s">
        <v>1663</v>
      </c>
      <c r="C302" s="267">
        <v>85</v>
      </c>
      <c r="D302" s="268">
        <f t="shared" si="39"/>
        <v>13</v>
      </c>
      <c r="E302" s="267"/>
      <c r="F302" s="267"/>
      <c r="G302" s="267"/>
      <c r="H302" s="267"/>
      <c r="I302" s="287">
        <v>13</v>
      </c>
      <c r="J302" s="288">
        <f t="shared" si="59"/>
        <v>15.29</v>
      </c>
      <c r="K302" s="276" t="s">
        <v>1087</v>
      </c>
      <c r="L302" s="33">
        <v>1</v>
      </c>
      <c r="M302" s="157" t="s">
        <v>1662</v>
      </c>
      <c r="N302" s="157"/>
      <c r="O302" s="157" t="s">
        <v>489</v>
      </c>
      <c r="P302" s="163" t="s">
        <v>1664</v>
      </c>
    </row>
    <row r="303" s="92" customFormat="1" ht="20.1" customHeight="1" spans="1:16">
      <c r="A303" s="157" t="s">
        <v>1665</v>
      </c>
      <c r="B303" s="266" t="s">
        <v>1666</v>
      </c>
      <c r="C303" s="267"/>
      <c r="D303" s="268">
        <f t="shared" si="39"/>
        <v>0</v>
      </c>
      <c r="E303" s="267"/>
      <c r="F303" s="267"/>
      <c r="G303" s="267"/>
      <c r="H303" s="267"/>
      <c r="I303" s="287"/>
      <c r="J303" s="288">
        <f t="shared" si="59"/>
        <v>0</v>
      </c>
      <c r="K303" s="276" t="s">
        <v>1087</v>
      </c>
      <c r="L303" s="33">
        <v>1</v>
      </c>
      <c r="M303" s="157" t="s">
        <v>1665</v>
      </c>
      <c r="N303" s="157"/>
      <c r="O303" s="157" t="s">
        <v>489</v>
      </c>
      <c r="P303" s="163" t="s">
        <v>1667</v>
      </c>
    </row>
    <row r="304" s="92" customFormat="1" ht="20.1" customHeight="1" spans="1:16">
      <c r="A304" s="157" t="s">
        <v>1668</v>
      </c>
      <c r="B304" s="266" t="s">
        <v>1669</v>
      </c>
      <c r="C304" s="267">
        <v>50</v>
      </c>
      <c r="D304" s="268">
        <f t="shared" si="39"/>
        <v>1</v>
      </c>
      <c r="E304" s="267"/>
      <c r="F304" s="267"/>
      <c r="G304" s="267"/>
      <c r="H304" s="267"/>
      <c r="I304" s="287">
        <v>1</v>
      </c>
      <c r="J304" s="288">
        <f t="shared" si="59"/>
        <v>2</v>
      </c>
      <c r="K304" s="276" t="s">
        <v>1087</v>
      </c>
      <c r="L304" s="33">
        <v>1</v>
      </c>
      <c r="M304" s="157" t="s">
        <v>1668</v>
      </c>
      <c r="N304" s="157"/>
      <c r="O304" s="157" t="s">
        <v>489</v>
      </c>
      <c r="P304" s="163" t="s">
        <v>1670</v>
      </c>
    </row>
    <row r="305" s="92" customFormat="1" ht="20.1" customHeight="1" spans="1:16">
      <c r="A305" s="157" t="s">
        <v>1671</v>
      </c>
      <c r="B305" s="266" t="s">
        <v>1672</v>
      </c>
      <c r="C305" s="267"/>
      <c r="D305" s="268">
        <f t="shared" si="39"/>
        <v>0</v>
      </c>
      <c r="E305" s="267"/>
      <c r="F305" s="267"/>
      <c r="G305" s="267"/>
      <c r="H305" s="267"/>
      <c r="I305" s="287"/>
      <c r="J305" s="288">
        <f t="shared" si="59"/>
        <v>0</v>
      </c>
      <c r="K305" s="276" t="s">
        <v>1087</v>
      </c>
      <c r="L305" s="33">
        <v>1</v>
      </c>
      <c r="M305" s="157" t="s">
        <v>1671</v>
      </c>
      <c r="N305" s="157"/>
      <c r="O305" s="157" t="s">
        <v>489</v>
      </c>
      <c r="P305" s="163" t="s">
        <v>1673</v>
      </c>
    </row>
    <row r="306" s="92" customFormat="1" ht="20.1" customHeight="1" spans="1:16">
      <c r="A306" s="157" t="s">
        <v>1674</v>
      </c>
      <c r="B306" s="269" t="s">
        <v>1675</v>
      </c>
      <c r="C306" s="267">
        <v>173</v>
      </c>
      <c r="D306" s="268">
        <f t="shared" ref="D306:D321" si="60">SUM(E306:I306)</f>
        <v>6</v>
      </c>
      <c r="E306" s="267"/>
      <c r="F306" s="267"/>
      <c r="G306" s="267"/>
      <c r="H306" s="267"/>
      <c r="I306" s="287">
        <v>6</v>
      </c>
      <c r="J306" s="288">
        <f t="shared" si="59"/>
        <v>3.47</v>
      </c>
      <c r="K306" s="276" t="s">
        <v>1087</v>
      </c>
      <c r="L306" s="33">
        <v>1</v>
      </c>
      <c r="M306" s="157" t="s">
        <v>1674</v>
      </c>
      <c r="N306" s="157"/>
      <c r="O306" s="157" t="s">
        <v>489</v>
      </c>
      <c r="P306" s="163" t="s">
        <v>1676</v>
      </c>
    </row>
    <row r="307" s="92" customFormat="1" ht="20.1" customHeight="1" spans="1:16">
      <c r="A307" s="157" t="s">
        <v>1677</v>
      </c>
      <c r="B307" s="269" t="s">
        <v>1678</v>
      </c>
      <c r="C307" s="267"/>
      <c r="D307" s="268">
        <f t="shared" si="60"/>
        <v>0</v>
      </c>
      <c r="E307" s="267"/>
      <c r="F307" s="267"/>
      <c r="G307" s="267"/>
      <c r="H307" s="267"/>
      <c r="I307" s="287"/>
      <c r="J307" s="288">
        <f t="shared" si="59"/>
        <v>0</v>
      </c>
      <c r="K307" s="276" t="s">
        <v>1087</v>
      </c>
      <c r="L307" s="33">
        <v>1</v>
      </c>
      <c r="M307" s="157" t="s">
        <v>1677</v>
      </c>
      <c r="N307" s="157"/>
      <c r="O307" s="157" t="s">
        <v>489</v>
      </c>
      <c r="P307" s="163" t="s">
        <v>1679</v>
      </c>
    </row>
    <row r="308" s="92" customFormat="1" ht="20.1" customHeight="1" spans="1:16">
      <c r="A308" s="157" t="s">
        <v>1680</v>
      </c>
      <c r="B308" s="269" t="s">
        <v>1681</v>
      </c>
      <c r="C308" s="267"/>
      <c r="D308" s="268">
        <f t="shared" si="60"/>
        <v>0</v>
      </c>
      <c r="E308" s="267"/>
      <c r="F308" s="267"/>
      <c r="G308" s="267"/>
      <c r="H308" s="267"/>
      <c r="I308" s="287"/>
      <c r="J308" s="288">
        <f t="shared" si="59"/>
        <v>0</v>
      </c>
      <c r="K308" s="276" t="s">
        <v>1087</v>
      </c>
      <c r="L308" s="33">
        <v>1</v>
      </c>
      <c r="M308" s="157" t="s">
        <v>1680</v>
      </c>
      <c r="N308" s="157"/>
      <c r="O308" s="157" t="s">
        <v>489</v>
      </c>
      <c r="P308" s="163" t="s">
        <v>1682</v>
      </c>
    </row>
    <row r="309" s="93" customFormat="1" ht="20.1" customHeight="1" spans="1:16">
      <c r="A309" s="263" t="s">
        <v>490</v>
      </c>
      <c r="B309" s="264" t="s">
        <v>256</v>
      </c>
      <c r="C309" s="265">
        <f t="shared" ref="C309:I309" si="61">SUM(C310)</f>
        <v>19</v>
      </c>
      <c r="D309" s="265">
        <f t="shared" si="60"/>
        <v>0</v>
      </c>
      <c r="E309" s="265">
        <f t="shared" si="61"/>
        <v>0</v>
      </c>
      <c r="F309" s="265">
        <f t="shared" si="61"/>
        <v>0</v>
      </c>
      <c r="G309" s="265">
        <f t="shared" si="61"/>
        <v>0</v>
      </c>
      <c r="H309" s="265">
        <f t="shared" si="61"/>
        <v>0</v>
      </c>
      <c r="I309" s="265">
        <f t="shared" si="61"/>
        <v>0</v>
      </c>
      <c r="J309" s="283">
        <f t="shared" si="59"/>
        <v>-100</v>
      </c>
      <c r="K309" s="284" t="s">
        <v>1082</v>
      </c>
      <c r="L309" s="285">
        <v>1</v>
      </c>
      <c r="M309" s="263" t="s">
        <v>490</v>
      </c>
      <c r="N309" s="263" t="s">
        <v>488</v>
      </c>
      <c r="O309" s="263" t="s">
        <v>490</v>
      </c>
      <c r="P309" s="286" t="s">
        <v>1683</v>
      </c>
    </row>
    <row r="310" s="92" customFormat="1" ht="20.1" customHeight="1" spans="1:16">
      <c r="A310" s="157" t="s">
        <v>1684</v>
      </c>
      <c r="B310" s="266" t="s">
        <v>1685</v>
      </c>
      <c r="C310" s="267">
        <v>19</v>
      </c>
      <c r="D310" s="267">
        <f t="shared" si="60"/>
        <v>0</v>
      </c>
      <c r="E310" s="267"/>
      <c r="F310" s="267"/>
      <c r="G310" s="267"/>
      <c r="H310" s="267"/>
      <c r="I310" s="267"/>
      <c r="J310" s="288"/>
      <c r="K310" s="276" t="s">
        <v>1087</v>
      </c>
      <c r="L310" s="33">
        <v>1</v>
      </c>
      <c r="M310" s="157" t="s">
        <v>1686</v>
      </c>
      <c r="N310" s="157"/>
      <c r="O310" s="157" t="s">
        <v>1684</v>
      </c>
      <c r="P310" s="163" t="s">
        <v>1683</v>
      </c>
    </row>
    <row r="311" s="93" customFormat="1" ht="20.1" customHeight="1" spans="1:16">
      <c r="A311" s="154" t="s">
        <v>491</v>
      </c>
      <c r="B311" s="261" t="s">
        <v>257</v>
      </c>
      <c r="C311" s="262">
        <f t="shared" ref="C311:I311" si="62">C312+C315+C326+C333+C341+C350+C364+C374+C384+C392+C398</f>
        <v>9721</v>
      </c>
      <c r="D311" s="262">
        <f t="shared" si="60"/>
        <v>10731</v>
      </c>
      <c r="E311" s="262">
        <f t="shared" si="62"/>
        <v>8</v>
      </c>
      <c r="F311" s="262">
        <f t="shared" si="62"/>
        <v>0</v>
      </c>
      <c r="G311" s="262">
        <f t="shared" si="62"/>
        <v>3124</v>
      </c>
      <c r="H311" s="262">
        <f t="shared" si="62"/>
        <v>0</v>
      </c>
      <c r="I311" s="262">
        <f t="shared" si="62"/>
        <v>7599</v>
      </c>
      <c r="J311" s="279">
        <f t="shared" ref="J311:J321" si="63">ROUND(IF(C311=0,IF(D311=0,0,1),IF(D311=0,-1,D311/C311)),4)*100</f>
        <v>110.39</v>
      </c>
      <c r="K311" s="280" t="s">
        <v>1081</v>
      </c>
      <c r="L311" s="281"/>
      <c r="M311" s="154" t="s">
        <v>491</v>
      </c>
      <c r="N311" s="154" t="s">
        <v>491</v>
      </c>
      <c r="O311" s="154" t="s">
        <v>491</v>
      </c>
      <c r="P311" s="282" t="s">
        <v>1687</v>
      </c>
    </row>
    <row r="312" s="93" customFormat="1" ht="20.1" customHeight="1" spans="1:16">
      <c r="A312" s="263" t="s">
        <v>492</v>
      </c>
      <c r="B312" s="264" t="s">
        <v>258</v>
      </c>
      <c r="C312" s="265">
        <f t="shared" ref="C312:I312" si="64">SUM(C313:C314)</f>
        <v>38</v>
      </c>
      <c r="D312" s="265">
        <f t="shared" si="60"/>
        <v>12</v>
      </c>
      <c r="E312" s="265">
        <f t="shared" si="64"/>
        <v>0</v>
      </c>
      <c r="F312" s="265">
        <f t="shared" si="64"/>
        <v>0</v>
      </c>
      <c r="G312" s="265">
        <f t="shared" si="64"/>
        <v>0</v>
      </c>
      <c r="H312" s="265">
        <f t="shared" si="64"/>
        <v>0</v>
      </c>
      <c r="I312" s="265">
        <f t="shared" si="64"/>
        <v>12</v>
      </c>
      <c r="J312" s="283">
        <f t="shared" si="63"/>
        <v>31.58</v>
      </c>
      <c r="K312" s="284" t="s">
        <v>1082</v>
      </c>
      <c r="L312" s="285"/>
      <c r="M312" s="263" t="s">
        <v>492</v>
      </c>
      <c r="N312" s="263" t="s">
        <v>491</v>
      </c>
      <c r="O312" s="263" t="s">
        <v>492</v>
      </c>
      <c r="P312" s="286" t="s">
        <v>1688</v>
      </c>
    </row>
    <row r="313" s="92" customFormat="1" ht="20.1" customHeight="1" spans="1:16">
      <c r="A313" s="157" t="s">
        <v>1689</v>
      </c>
      <c r="B313" s="266" t="s">
        <v>1690</v>
      </c>
      <c r="C313" s="267">
        <v>10</v>
      </c>
      <c r="D313" s="268">
        <f t="shared" si="60"/>
        <v>12</v>
      </c>
      <c r="E313" s="267"/>
      <c r="F313" s="267"/>
      <c r="G313" s="267"/>
      <c r="H313" s="267"/>
      <c r="I313" s="287">
        <v>12</v>
      </c>
      <c r="J313" s="288">
        <f t="shared" si="63"/>
        <v>120</v>
      </c>
      <c r="K313" s="276" t="s">
        <v>1087</v>
      </c>
      <c r="L313" s="33">
        <v>1</v>
      </c>
      <c r="M313" s="157" t="s">
        <v>1689</v>
      </c>
      <c r="N313" s="157"/>
      <c r="O313" s="157" t="s">
        <v>492</v>
      </c>
      <c r="P313" s="164" t="s">
        <v>1688</v>
      </c>
    </row>
    <row r="314" s="92" customFormat="1" ht="20.1" customHeight="1" spans="1:16">
      <c r="A314" s="157" t="s">
        <v>1691</v>
      </c>
      <c r="B314" s="266" t="s">
        <v>1692</v>
      </c>
      <c r="C314" s="267">
        <v>28</v>
      </c>
      <c r="D314" s="268">
        <f t="shared" si="60"/>
        <v>0</v>
      </c>
      <c r="E314" s="267"/>
      <c r="F314" s="267"/>
      <c r="G314" s="267"/>
      <c r="H314" s="267"/>
      <c r="I314" s="287"/>
      <c r="J314" s="288">
        <f t="shared" si="63"/>
        <v>-100</v>
      </c>
      <c r="K314" s="276" t="s">
        <v>1087</v>
      </c>
      <c r="L314" s="33">
        <v>1</v>
      </c>
      <c r="M314" s="157" t="s">
        <v>1691</v>
      </c>
      <c r="N314" s="157"/>
      <c r="O314" s="157" t="s">
        <v>492</v>
      </c>
      <c r="P314" s="164" t="s">
        <v>1693</v>
      </c>
    </row>
    <row r="315" s="93" customFormat="1" ht="20.1" customHeight="1" spans="1:16">
      <c r="A315" s="263" t="s">
        <v>493</v>
      </c>
      <c r="B315" s="264" t="s">
        <v>259</v>
      </c>
      <c r="C315" s="265">
        <f t="shared" ref="C315:I315" si="65">SUM(C316:C325)</f>
        <v>8344</v>
      </c>
      <c r="D315" s="265">
        <f t="shared" si="60"/>
        <v>9851</v>
      </c>
      <c r="E315" s="265">
        <f t="shared" si="65"/>
        <v>0</v>
      </c>
      <c r="F315" s="265">
        <f t="shared" si="65"/>
        <v>0</v>
      </c>
      <c r="G315" s="265">
        <f t="shared" si="65"/>
        <v>3053</v>
      </c>
      <c r="H315" s="265">
        <f t="shared" si="65"/>
        <v>0</v>
      </c>
      <c r="I315" s="265">
        <f t="shared" si="65"/>
        <v>6798</v>
      </c>
      <c r="J315" s="283">
        <f t="shared" si="63"/>
        <v>118.06</v>
      </c>
      <c r="K315" s="284" t="s">
        <v>1082</v>
      </c>
      <c r="L315" s="285"/>
      <c r="M315" s="263" t="s">
        <v>493</v>
      </c>
      <c r="N315" s="263" t="s">
        <v>491</v>
      </c>
      <c r="O315" s="263" t="s">
        <v>493</v>
      </c>
      <c r="P315" s="286" t="s">
        <v>1694</v>
      </c>
    </row>
    <row r="316" s="92" customFormat="1" ht="20.1" customHeight="1" spans="1:16">
      <c r="A316" s="157" t="s">
        <v>1695</v>
      </c>
      <c r="B316" s="269" t="s">
        <v>1086</v>
      </c>
      <c r="C316" s="267">
        <v>5844</v>
      </c>
      <c r="D316" s="268">
        <f t="shared" si="60"/>
        <v>5782</v>
      </c>
      <c r="E316" s="267"/>
      <c r="F316" s="267"/>
      <c r="G316" s="267"/>
      <c r="H316" s="267"/>
      <c r="I316" s="287">
        <v>5782</v>
      </c>
      <c r="J316" s="288">
        <f t="shared" si="63"/>
        <v>98.94</v>
      </c>
      <c r="K316" s="276" t="s">
        <v>1087</v>
      </c>
      <c r="L316" s="33">
        <v>1</v>
      </c>
      <c r="M316" s="157" t="s">
        <v>1695</v>
      </c>
      <c r="N316" s="157"/>
      <c r="O316" s="157" t="s">
        <v>493</v>
      </c>
      <c r="P316" s="164" t="s">
        <v>1088</v>
      </c>
    </row>
    <row r="317" s="92" customFormat="1" ht="20.1" customHeight="1" spans="1:16">
      <c r="A317" s="157" t="s">
        <v>1696</v>
      </c>
      <c r="B317" s="36" t="s">
        <v>1090</v>
      </c>
      <c r="C317" s="267">
        <v>5</v>
      </c>
      <c r="D317" s="268">
        <f t="shared" si="60"/>
        <v>5</v>
      </c>
      <c r="E317" s="267"/>
      <c r="F317" s="267"/>
      <c r="G317" s="267"/>
      <c r="H317" s="267"/>
      <c r="I317" s="287">
        <v>5</v>
      </c>
      <c r="J317" s="288">
        <f t="shared" si="63"/>
        <v>100</v>
      </c>
      <c r="K317" s="276" t="s">
        <v>1087</v>
      </c>
      <c r="L317" s="33">
        <v>1</v>
      </c>
      <c r="M317" s="157" t="s">
        <v>1696</v>
      </c>
      <c r="N317" s="157"/>
      <c r="O317" s="157" t="s">
        <v>493</v>
      </c>
      <c r="P317" s="164" t="s">
        <v>1091</v>
      </c>
    </row>
    <row r="318" s="92" customFormat="1" ht="20.1" customHeight="1" spans="1:16">
      <c r="A318" s="157" t="s">
        <v>1697</v>
      </c>
      <c r="B318" s="266" t="s">
        <v>1093</v>
      </c>
      <c r="C318" s="267">
        <v>163</v>
      </c>
      <c r="D318" s="268">
        <f t="shared" si="60"/>
        <v>357</v>
      </c>
      <c r="E318" s="267"/>
      <c r="F318" s="267"/>
      <c r="G318" s="267"/>
      <c r="H318" s="267"/>
      <c r="I318" s="296">
        <v>357</v>
      </c>
      <c r="J318" s="288">
        <f t="shared" si="63"/>
        <v>219.02</v>
      </c>
      <c r="K318" s="276" t="s">
        <v>1087</v>
      </c>
      <c r="L318" s="33">
        <v>1</v>
      </c>
      <c r="M318" s="157" t="s">
        <v>1697</v>
      </c>
      <c r="N318" s="157"/>
      <c r="O318" s="157" t="s">
        <v>493</v>
      </c>
      <c r="P318" s="164" t="s">
        <v>1094</v>
      </c>
    </row>
    <row r="319" s="92" customFormat="1" ht="20.1" customHeight="1" spans="1:16">
      <c r="A319" s="157" t="s">
        <v>1698</v>
      </c>
      <c r="B319" s="269" t="s">
        <v>1217</v>
      </c>
      <c r="C319" s="267"/>
      <c r="D319" s="268">
        <f t="shared" si="60"/>
        <v>100</v>
      </c>
      <c r="E319" s="267"/>
      <c r="F319" s="267"/>
      <c r="G319" s="267"/>
      <c r="H319" s="267"/>
      <c r="I319" s="287">
        <v>100</v>
      </c>
      <c r="J319" s="288">
        <f t="shared" si="63"/>
        <v>100</v>
      </c>
      <c r="K319" s="276" t="s">
        <v>1087</v>
      </c>
      <c r="L319" s="33">
        <v>1</v>
      </c>
      <c r="M319" s="157" t="s">
        <v>1698</v>
      </c>
      <c r="N319" s="157"/>
      <c r="O319" s="157" t="s">
        <v>493</v>
      </c>
      <c r="P319" s="164" t="s">
        <v>1218</v>
      </c>
    </row>
    <row r="320" s="92" customFormat="1" ht="20.1" customHeight="1" spans="1:16">
      <c r="A320" s="157" t="s">
        <v>1699</v>
      </c>
      <c r="B320" s="269" t="s">
        <v>1700</v>
      </c>
      <c r="C320" s="267">
        <v>1883</v>
      </c>
      <c r="D320" s="268">
        <f t="shared" si="60"/>
        <v>75</v>
      </c>
      <c r="E320" s="267"/>
      <c r="F320" s="267"/>
      <c r="G320" s="267">
        <v>75</v>
      </c>
      <c r="H320" s="267"/>
      <c r="I320" s="287"/>
      <c r="J320" s="288">
        <f t="shared" si="63"/>
        <v>3.98</v>
      </c>
      <c r="K320" s="276" t="s">
        <v>1087</v>
      </c>
      <c r="L320" s="33">
        <v>1</v>
      </c>
      <c r="M320" s="157" t="s">
        <v>1699</v>
      </c>
      <c r="N320" s="157"/>
      <c r="O320" s="157" t="s">
        <v>493</v>
      </c>
      <c r="P320" s="164" t="s">
        <v>1701</v>
      </c>
    </row>
    <row r="321" s="92" customFormat="1" ht="20.1" customHeight="1" spans="1:16">
      <c r="A321" s="157" t="s">
        <v>1702</v>
      </c>
      <c r="B321" s="269" t="s">
        <v>1703</v>
      </c>
      <c r="C321" s="267"/>
      <c r="D321" s="268">
        <f t="shared" si="60"/>
        <v>0</v>
      </c>
      <c r="E321" s="267"/>
      <c r="F321" s="267"/>
      <c r="G321" s="267"/>
      <c r="H321" s="267"/>
      <c r="I321" s="287"/>
      <c r="J321" s="288">
        <f t="shared" si="63"/>
        <v>0</v>
      </c>
      <c r="K321" s="276" t="s">
        <v>1087</v>
      </c>
      <c r="L321" s="33">
        <v>1</v>
      </c>
      <c r="M321" s="157" t="s">
        <v>1702</v>
      </c>
      <c r="N321" s="157"/>
      <c r="O321" s="157" t="s">
        <v>493</v>
      </c>
      <c r="P321" s="164" t="s">
        <v>1704</v>
      </c>
    </row>
    <row r="322" s="92" customFormat="1" ht="20.1" customHeight="1" spans="1:16">
      <c r="A322" s="157" t="s">
        <v>1705</v>
      </c>
      <c r="B322" s="269" t="s">
        <v>1706</v>
      </c>
      <c r="C322" s="267"/>
      <c r="D322" s="268"/>
      <c r="E322" s="267"/>
      <c r="F322" s="267"/>
      <c r="G322" s="267"/>
      <c r="H322" s="267"/>
      <c r="I322" s="287"/>
      <c r="J322" s="288"/>
      <c r="K322" s="276" t="s">
        <v>1087</v>
      </c>
      <c r="L322" s="33">
        <v>2</v>
      </c>
      <c r="M322" s="157" t="s">
        <v>1705</v>
      </c>
      <c r="N322" s="157"/>
      <c r="O322" s="157" t="s">
        <v>493</v>
      </c>
      <c r="P322" s="164" t="s">
        <v>1707</v>
      </c>
    </row>
    <row r="323" s="92" customFormat="1" ht="20.1" customHeight="1" spans="1:16">
      <c r="A323" s="157" t="s">
        <v>1708</v>
      </c>
      <c r="B323" s="269" t="s">
        <v>1709</v>
      </c>
      <c r="C323" s="267"/>
      <c r="D323" s="268"/>
      <c r="E323" s="267"/>
      <c r="F323" s="267"/>
      <c r="G323" s="267"/>
      <c r="H323" s="267"/>
      <c r="I323" s="287"/>
      <c r="J323" s="288"/>
      <c r="K323" s="276" t="s">
        <v>1087</v>
      </c>
      <c r="L323" s="33">
        <v>3</v>
      </c>
      <c r="M323" s="157" t="s">
        <v>1708</v>
      </c>
      <c r="N323" s="157"/>
      <c r="O323" s="157" t="s">
        <v>493</v>
      </c>
      <c r="P323" s="164" t="s">
        <v>1710</v>
      </c>
    </row>
    <row r="324" s="92" customFormat="1" ht="20.1" customHeight="1" spans="1:16">
      <c r="A324" s="157" t="s">
        <v>1711</v>
      </c>
      <c r="B324" s="269" t="s">
        <v>1114</v>
      </c>
      <c r="C324" s="267"/>
      <c r="D324" s="268">
        <f t="shared" ref="D324:D387" si="66">SUM(E324:I324)</f>
        <v>0</v>
      </c>
      <c r="E324" s="267"/>
      <c r="F324" s="267"/>
      <c r="G324" s="267"/>
      <c r="H324" s="267"/>
      <c r="I324" s="287"/>
      <c r="J324" s="288">
        <f t="shared" ref="J324:J387" si="67">ROUND(IF(C324=0,IF(D324=0,0,1),IF(D324=0,-1,D324/C324)),4)*100</f>
        <v>0</v>
      </c>
      <c r="K324" s="276" t="s">
        <v>1087</v>
      </c>
      <c r="L324" s="33">
        <v>1</v>
      </c>
      <c r="M324" s="157" t="s">
        <v>1711</v>
      </c>
      <c r="N324" s="157"/>
      <c r="O324" s="157" t="s">
        <v>493</v>
      </c>
      <c r="P324" s="164" t="s">
        <v>1115</v>
      </c>
    </row>
    <row r="325" s="92" customFormat="1" ht="20.1" customHeight="1" spans="1:16">
      <c r="A325" s="157" t="s">
        <v>1712</v>
      </c>
      <c r="B325" s="269" t="s">
        <v>1713</v>
      </c>
      <c r="C325" s="267">
        <v>449</v>
      </c>
      <c r="D325" s="268">
        <f t="shared" si="66"/>
        <v>3532</v>
      </c>
      <c r="E325" s="267"/>
      <c r="F325" s="267"/>
      <c r="G325" s="267">
        <v>2978</v>
      </c>
      <c r="H325" s="267"/>
      <c r="I325" s="287">
        <v>554</v>
      </c>
      <c r="J325" s="288">
        <f t="shared" si="67"/>
        <v>786.64</v>
      </c>
      <c r="K325" s="276" t="s">
        <v>1087</v>
      </c>
      <c r="L325" s="33">
        <v>1</v>
      </c>
      <c r="M325" s="157" t="s">
        <v>1712</v>
      </c>
      <c r="N325" s="157"/>
      <c r="O325" s="157" t="s">
        <v>493</v>
      </c>
      <c r="P325" s="163" t="s">
        <v>1714</v>
      </c>
    </row>
    <row r="326" s="93" customFormat="1" ht="20.1" customHeight="1" spans="1:16">
      <c r="A326" s="263" t="s">
        <v>494</v>
      </c>
      <c r="B326" s="264" t="s">
        <v>260</v>
      </c>
      <c r="C326" s="265">
        <f t="shared" ref="C326:I326" si="68">SUM(C327:C332)</f>
        <v>0</v>
      </c>
      <c r="D326" s="265">
        <f t="shared" si="66"/>
        <v>65</v>
      </c>
      <c r="E326" s="265">
        <f t="shared" si="68"/>
        <v>0</v>
      </c>
      <c r="F326" s="265">
        <f t="shared" si="68"/>
        <v>0</v>
      </c>
      <c r="G326" s="265">
        <f t="shared" si="68"/>
        <v>0</v>
      </c>
      <c r="H326" s="265">
        <f t="shared" si="68"/>
        <v>0</v>
      </c>
      <c r="I326" s="265">
        <f t="shared" si="68"/>
        <v>65</v>
      </c>
      <c r="J326" s="283">
        <f t="shared" si="67"/>
        <v>100</v>
      </c>
      <c r="K326" s="284" t="s">
        <v>1082</v>
      </c>
      <c r="L326" s="285"/>
      <c r="M326" s="263" t="s">
        <v>494</v>
      </c>
      <c r="N326" s="263" t="s">
        <v>491</v>
      </c>
      <c r="O326" s="263" t="s">
        <v>494</v>
      </c>
      <c r="P326" s="286" t="s">
        <v>1715</v>
      </c>
    </row>
    <row r="327" s="92" customFormat="1" ht="20.1" customHeight="1" spans="1:16">
      <c r="A327" s="157" t="s">
        <v>1716</v>
      </c>
      <c r="B327" s="266" t="s">
        <v>1086</v>
      </c>
      <c r="C327" s="267">
        <v>0</v>
      </c>
      <c r="D327" s="268">
        <f t="shared" si="66"/>
        <v>0</v>
      </c>
      <c r="E327" s="267"/>
      <c r="F327" s="267"/>
      <c r="G327" s="267"/>
      <c r="H327" s="267"/>
      <c r="I327" s="287"/>
      <c r="J327" s="288">
        <f t="shared" si="67"/>
        <v>0</v>
      </c>
      <c r="K327" s="276" t="s">
        <v>1087</v>
      </c>
      <c r="L327" s="33">
        <v>1</v>
      </c>
      <c r="M327" s="157" t="s">
        <v>1716</v>
      </c>
      <c r="N327" s="157"/>
      <c r="O327" s="157" t="s">
        <v>494</v>
      </c>
      <c r="P327" s="164" t="s">
        <v>1088</v>
      </c>
    </row>
    <row r="328" s="92" customFormat="1" ht="20.1" customHeight="1" spans="1:16">
      <c r="A328" s="157" t="s">
        <v>1717</v>
      </c>
      <c r="B328" s="266" t="s">
        <v>1090</v>
      </c>
      <c r="C328" s="267">
        <v>0</v>
      </c>
      <c r="D328" s="268">
        <f t="shared" si="66"/>
        <v>0</v>
      </c>
      <c r="E328" s="267"/>
      <c r="F328" s="267"/>
      <c r="G328" s="267"/>
      <c r="H328" s="267"/>
      <c r="I328" s="287"/>
      <c r="J328" s="288">
        <f t="shared" si="67"/>
        <v>0</v>
      </c>
      <c r="K328" s="276" t="s">
        <v>1087</v>
      </c>
      <c r="L328" s="33">
        <v>1</v>
      </c>
      <c r="M328" s="157" t="s">
        <v>1717</v>
      </c>
      <c r="N328" s="157"/>
      <c r="O328" s="157" t="s">
        <v>494</v>
      </c>
      <c r="P328" s="164" t="s">
        <v>1091</v>
      </c>
    </row>
    <row r="329" s="92" customFormat="1" ht="20.1" customHeight="1" spans="1:16">
      <c r="A329" s="157" t="s">
        <v>1718</v>
      </c>
      <c r="B329" s="269" t="s">
        <v>1093</v>
      </c>
      <c r="C329" s="267">
        <v>0</v>
      </c>
      <c r="D329" s="268">
        <f t="shared" si="66"/>
        <v>64</v>
      </c>
      <c r="E329" s="267"/>
      <c r="F329" s="267"/>
      <c r="G329" s="267"/>
      <c r="H329" s="267"/>
      <c r="I329" s="287">
        <v>64</v>
      </c>
      <c r="J329" s="288">
        <f t="shared" si="67"/>
        <v>100</v>
      </c>
      <c r="K329" s="276" t="s">
        <v>1087</v>
      </c>
      <c r="L329" s="33">
        <v>1</v>
      </c>
      <c r="M329" s="157" t="s">
        <v>1718</v>
      </c>
      <c r="N329" s="157"/>
      <c r="O329" s="157" t="s">
        <v>494</v>
      </c>
      <c r="P329" s="164" t="s">
        <v>1094</v>
      </c>
    </row>
    <row r="330" s="92" customFormat="1" ht="20.1" customHeight="1" spans="1:16">
      <c r="A330" s="157" t="s">
        <v>1719</v>
      </c>
      <c r="B330" s="269" t="s">
        <v>1720</v>
      </c>
      <c r="C330" s="267">
        <v>0</v>
      </c>
      <c r="D330" s="268">
        <f t="shared" si="66"/>
        <v>1</v>
      </c>
      <c r="E330" s="267"/>
      <c r="F330" s="267"/>
      <c r="G330" s="267"/>
      <c r="H330" s="267"/>
      <c r="I330" s="287">
        <v>1</v>
      </c>
      <c r="J330" s="288">
        <f t="shared" si="67"/>
        <v>100</v>
      </c>
      <c r="K330" s="276" t="s">
        <v>1087</v>
      </c>
      <c r="L330" s="33">
        <v>1</v>
      </c>
      <c r="M330" s="157" t="s">
        <v>1719</v>
      </c>
      <c r="N330" s="157"/>
      <c r="O330" s="157" t="s">
        <v>494</v>
      </c>
      <c r="P330" s="163" t="s">
        <v>1721</v>
      </c>
    </row>
    <row r="331" s="92" customFormat="1" ht="20.1" customHeight="1" spans="1:16">
      <c r="A331" s="157" t="s">
        <v>1722</v>
      </c>
      <c r="B331" s="269" t="s">
        <v>1114</v>
      </c>
      <c r="C331" s="267">
        <v>0</v>
      </c>
      <c r="D331" s="268">
        <f t="shared" si="66"/>
        <v>0</v>
      </c>
      <c r="E331" s="267"/>
      <c r="F331" s="267"/>
      <c r="G331" s="267"/>
      <c r="H331" s="267"/>
      <c r="I331" s="287"/>
      <c r="J331" s="288">
        <f t="shared" si="67"/>
        <v>0</v>
      </c>
      <c r="K331" s="276" t="s">
        <v>1087</v>
      </c>
      <c r="L331" s="33">
        <v>1</v>
      </c>
      <c r="M331" s="157" t="s">
        <v>1722</v>
      </c>
      <c r="N331" s="157"/>
      <c r="O331" s="157" t="s">
        <v>494</v>
      </c>
      <c r="P331" s="164" t="s">
        <v>1115</v>
      </c>
    </row>
    <row r="332" s="92" customFormat="1" ht="20.1" customHeight="1" spans="1:16">
      <c r="A332" s="157" t="s">
        <v>1723</v>
      </c>
      <c r="B332" s="36" t="s">
        <v>1724</v>
      </c>
      <c r="C332" s="267"/>
      <c r="D332" s="268">
        <f t="shared" si="66"/>
        <v>0</v>
      </c>
      <c r="E332" s="267"/>
      <c r="F332" s="267"/>
      <c r="G332" s="267"/>
      <c r="H332" s="267"/>
      <c r="I332" s="287"/>
      <c r="J332" s="288">
        <f t="shared" si="67"/>
        <v>0</v>
      </c>
      <c r="K332" s="276" t="s">
        <v>1087</v>
      </c>
      <c r="L332" s="33">
        <v>1</v>
      </c>
      <c r="M332" s="157" t="s">
        <v>1723</v>
      </c>
      <c r="N332" s="157"/>
      <c r="O332" s="157" t="s">
        <v>494</v>
      </c>
      <c r="P332" s="163" t="s">
        <v>1725</v>
      </c>
    </row>
    <row r="333" s="93" customFormat="1" ht="20.1" customHeight="1" spans="1:16">
      <c r="A333" s="263" t="s">
        <v>495</v>
      </c>
      <c r="B333" s="264" t="s">
        <v>261</v>
      </c>
      <c r="C333" s="265">
        <f t="shared" ref="C333:I333" si="69">SUM(C334:C340)</f>
        <v>135</v>
      </c>
      <c r="D333" s="265">
        <f t="shared" si="66"/>
        <v>0</v>
      </c>
      <c r="E333" s="265">
        <f t="shared" si="69"/>
        <v>0</v>
      </c>
      <c r="F333" s="265">
        <f t="shared" si="69"/>
        <v>0</v>
      </c>
      <c r="G333" s="265">
        <f t="shared" si="69"/>
        <v>0</v>
      </c>
      <c r="H333" s="265">
        <f t="shared" si="69"/>
        <v>0</v>
      </c>
      <c r="I333" s="265">
        <f t="shared" si="69"/>
        <v>0</v>
      </c>
      <c r="J333" s="283">
        <f t="shared" si="67"/>
        <v>-100</v>
      </c>
      <c r="K333" s="284" t="s">
        <v>1082</v>
      </c>
      <c r="L333" s="285"/>
      <c r="M333" s="263" t="s">
        <v>495</v>
      </c>
      <c r="N333" s="263" t="s">
        <v>491</v>
      </c>
      <c r="O333" s="263" t="s">
        <v>495</v>
      </c>
      <c r="P333" s="286" t="s">
        <v>1726</v>
      </c>
    </row>
    <row r="334" s="92" customFormat="1" ht="20.1" customHeight="1" spans="1:16">
      <c r="A334" s="157" t="s">
        <v>1727</v>
      </c>
      <c r="B334" s="266" t="s">
        <v>1086</v>
      </c>
      <c r="C334" s="267">
        <v>135</v>
      </c>
      <c r="D334" s="268">
        <f t="shared" si="66"/>
        <v>0</v>
      </c>
      <c r="E334" s="267"/>
      <c r="F334" s="267"/>
      <c r="G334" s="267"/>
      <c r="H334" s="267"/>
      <c r="I334" s="287"/>
      <c r="J334" s="288">
        <f t="shared" si="67"/>
        <v>-100</v>
      </c>
      <c r="K334" s="276" t="s">
        <v>1087</v>
      </c>
      <c r="L334" s="33">
        <v>1</v>
      </c>
      <c r="M334" s="157" t="s">
        <v>1727</v>
      </c>
      <c r="N334" s="157"/>
      <c r="O334" s="157" t="s">
        <v>495</v>
      </c>
      <c r="P334" s="164" t="s">
        <v>1088</v>
      </c>
    </row>
    <row r="335" s="92" customFormat="1" ht="20.1" customHeight="1" spans="1:16">
      <c r="A335" s="157" t="s">
        <v>1728</v>
      </c>
      <c r="B335" s="266" t="s">
        <v>1090</v>
      </c>
      <c r="C335" s="267"/>
      <c r="D335" s="268">
        <f t="shared" si="66"/>
        <v>0</v>
      </c>
      <c r="E335" s="267"/>
      <c r="F335" s="267"/>
      <c r="G335" s="267"/>
      <c r="H335" s="267"/>
      <c r="I335" s="287"/>
      <c r="J335" s="288">
        <f t="shared" si="67"/>
        <v>0</v>
      </c>
      <c r="K335" s="276" t="s">
        <v>1087</v>
      </c>
      <c r="L335" s="33">
        <v>1</v>
      </c>
      <c r="M335" s="157" t="s">
        <v>1728</v>
      </c>
      <c r="N335" s="157"/>
      <c r="O335" s="157" t="s">
        <v>495</v>
      </c>
      <c r="P335" s="164" t="s">
        <v>1091</v>
      </c>
    </row>
    <row r="336" s="92" customFormat="1" ht="20.1" customHeight="1" spans="1:16">
      <c r="A336" s="157" t="s">
        <v>1729</v>
      </c>
      <c r="B336" s="269" t="s">
        <v>1093</v>
      </c>
      <c r="C336" s="267"/>
      <c r="D336" s="268">
        <f t="shared" si="66"/>
        <v>0</v>
      </c>
      <c r="E336" s="267"/>
      <c r="F336" s="267"/>
      <c r="G336" s="267"/>
      <c r="H336" s="267"/>
      <c r="I336" s="287"/>
      <c r="J336" s="288">
        <f t="shared" si="67"/>
        <v>0</v>
      </c>
      <c r="K336" s="276" t="s">
        <v>1087</v>
      </c>
      <c r="L336" s="33">
        <v>1</v>
      </c>
      <c r="M336" s="157" t="s">
        <v>1729</v>
      </c>
      <c r="N336" s="157"/>
      <c r="O336" s="157" t="s">
        <v>495</v>
      </c>
      <c r="P336" s="164" t="s">
        <v>1094</v>
      </c>
    </row>
    <row r="337" s="92" customFormat="1" ht="20.1" customHeight="1" spans="1:16">
      <c r="A337" s="157" t="s">
        <v>1730</v>
      </c>
      <c r="B337" s="269" t="s">
        <v>1731</v>
      </c>
      <c r="C337" s="267"/>
      <c r="D337" s="268">
        <f t="shared" si="66"/>
        <v>0</v>
      </c>
      <c r="E337" s="267"/>
      <c r="F337" s="267"/>
      <c r="G337" s="267"/>
      <c r="H337" s="267"/>
      <c r="I337" s="287"/>
      <c r="J337" s="288">
        <f t="shared" si="67"/>
        <v>0</v>
      </c>
      <c r="K337" s="276" t="s">
        <v>1087</v>
      </c>
      <c r="L337" s="33">
        <v>1</v>
      </c>
      <c r="M337" s="157" t="s">
        <v>1730</v>
      </c>
      <c r="N337" s="157"/>
      <c r="O337" s="157" t="s">
        <v>495</v>
      </c>
      <c r="P337" s="163" t="s">
        <v>1732</v>
      </c>
    </row>
    <row r="338" s="92" customFormat="1" ht="20.1" customHeight="1" spans="1:16">
      <c r="A338" s="157" t="s">
        <v>1733</v>
      </c>
      <c r="B338" s="269" t="s">
        <v>1734</v>
      </c>
      <c r="C338" s="267"/>
      <c r="D338" s="268">
        <f t="shared" si="66"/>
        <v>0</v>
      </c>
      <c r="E338" s="267"/>
      <c r="F338" s="267"/>
      <c r="G338" s="267"/>
      <c r="H338" s="267"/>
      <c r="I338" s="287"/>
      <c r="J338" s="288">
        <f t="shared" si="67"/>
        <v>0</v>
      </c>
      <c r="K338" s="276" t="s">
        <v>1087</v>
      </c>
      <c r="L338" s="33">
        <v>1</v>
      </c>
      <c r="M338" s="157" t="s">
        <v>1733</v>
      </c>
      <c r="N338" s="157"/>
      <c r="O338" s="157" t="s">
        <v>495</v>
      </c>
      <c r="P338" s="164" t="s">
        <v>1735</v>
      </c>
    </row>
    <row r="339" s="92" customFormat="1" ht="20.1" customHeight="1" spans="1:16">
      <c r="A339" s="157" t="s">
        <v>1736</v>
      </c>
      <c r="B339" s="269" t="s">
        <v>1114</v>
      </c>
      <c r="C339" s="267"/>
      <c r="D339" s="268">
        <f t="shared" si="66"/>
        <v>0</v>
      </c>
      <c r="E339" s="267"/>
      <c r="F339" s="267"/>
      <c r="G339" s="267"/>
      <c r="H339" s="267"/>
      <c r="I339" s="287"/>
      <c r="J339" s="288">
        <f t="shared" si="67"/>
        <v>0</v>
      </c>
      <c r="K339" s="276" t="s">
        <v>1087</v>
      </c>
      <c r="L339" s="33">
        <v>1</v>
      </c>
      <c r="M339" s="157" t="s">
        <v>1736</v>
      </c>
      <c r="N339" s="157"/>
      <c r="O339" s="157" t="s">
        <v>495</v>
      </c>
      <c r="P339" s="164" t="s">
        <v>1115</v>
      </c>
    </row>
    <row r="340" s="92" customFormat="1" ht="20.1" customHeight="1" spans="1:16">
      <c r="A340" s="157" t="s">
        <v>1737</v>
      </c>
      <c r="B340" s="269" t="s">
        <v>1738</v>
      </c>
      <c r="C340" s="267"/>
      <c r="D340" s="268">
        <f t="shared" si="66"/>
        <v>0</v>
      </c>
      <c r="E340" s="267"/>
      <c r="F340" s="267"/>
      <c r="G340" s="267"/>
      <c r="H340" s="267"/>
      <c r="I340" s="287"/>
      <c r="J340" s="288">
        <f t="shared" si="67"/>
        <v>0</v>
      </c>
      <c r="K340" s="276" t="s">
        <v>1087</v>
      </c>
      <c r="L340" s="33">
        <v>1</v>
      </c>
      <c r="M340" s="157" t="s">
        <v>1737</v>
      </c>
      <c r="N340" s="157"/>
      <c r="O340" s="157" t="s">
        <v>495</v>
      </c>
      <c r="P340" s="163" t="s">
        <v>1739</v>
      </c>
    </row>
    <row r="341" s="93" customFormat="1" ht="20.1" customHeight="1" spans="1:16">
      <c r="A341" s="263" t="s">
        <v>496</v>
      </c>
      <c r="B341" s="264" t="s">
        <v>262</v>
      </c>
      <c r="C341" s="265">
        <f t="shared" ref="C341:I341" si="70">SUM(C342:C349)</f>
        <v>271</v>
      </c>
      <c r="D341" s="265">
        <f t="shared" si="66"/>
        <v>0</v>
      </c>
      <c r="E341" s="265">
        <f t="shared" si="70"/>
        <v>0</v>
      </c>
      <c r="F341" s="265">
        <f t="shared" si="70"/>
        <v>0</v>
      </c>
      <c r="G341" s="265">
        <f t="shared" si="70"/>
        <v>0</v>
      </c>
      <c r="H341" s="265">
        <f t="shared" si="70"/>
        <v>0</v>
      </c>
      <c r="I341" s="265">
        <f t="shared" si="70"/>
        <v>0</v>
      </c>
      <c r="J341" s="283">
        <f t="shared" si="67"/>
        <v>-100</v>
      </c>
      <c r="K341" s="284" t="s">
        <v>1082</v>
      </c>
      <c r="L341" s="285"/>
      <c r="M341" s="263" t="s">
        <v>496</v>
      </c>
      <c r="N341" s="263" t="s">
        <v>491</v>
      </c>
      <c r="O341" s="263" t="s">
        <v>496</v>
      </c>
      <c r="P341" s="286" t="s">
        <v>1740</v>
      </c>
    </row>
    <row r="342" s="92" customFormat="1" ht="20.1" customHeight="1" spans="1:16">
      <c r="A342" s="157" t="s">
        <v>1741</v>
      </c>
      <c r="B342" s="266" t="s">
        <v>1086</v>
      </c>
      <c r="C342" s="267">
        <v>271</v>
      </c>
      <c r="D342" s="268">
        <f t="shared" si="66"/>
        <v>0</v>
      </c>
      <c r="E342" s="267"/>
      <c r="F342" s="267"/>
      <c r="G342" s="267"/>
      <c r="H342" s="267"/>
      <c r="I342" s="287"/>
      <c r="J342" s="288">
        <f t="shared" si="67"/>
        <v>-100</v>
      </c>
      <c r="K342" s="276" t="s">
        <v>1087</v>
      </c>
      <c r="L342" s="33">
        <v>1</v>
      </c>
      <c r="M342" s="157" t="s">
        <v>1741</v>
      </c>
      <c r="N342" s="157"/>
      <c r="O342" s="157" t="s">
        <v>496</v>
      </c>
      <c r="P342" s="164" t="s">
        <v>1088</v>
      </c>
    </row>
    <row r="343" s="92" customFormat="1" ht="20.1" customHeight="1" spans="1:16">
      <c r="A343" s="157" t="s">
        <v>1742</v>
      </c>
      <c r="B343" s="266" t="s">
        <v>1090</v>
      </c>
      <c r="C343" s="267"/>
      <c r="D343" s="268">
        <f t="shared" si="66"/>
        <v>0</v>
      </c>
      <c r="E343" s="267"/>
      <c r="F343" s="267"/>
      <c r="G343" s="267"/>
      <c r="H343" s="267"/>
      <c r="I343" s="287"/>
      <c r="J343" s="288">
        <f t="shared" si="67"/>
        <v>0</v>
      </c>
      <c r="K343" s="276" t="s">
        <v>1087</v>
      </c>
      <c r="L343" s="33">
        <v>1</v>
      </c>
      <c r="M343" s="157" t="s">
        <v>1742</v>
      </c>
      <c r="N343" s="157"/>
      <c r="O343" s="157" t="s">
        <v>496</v>
      </c>
      <c r="P343" s="164" t="s">
        <v>1091</v>
      </c>
    </row>
    <row r="344" s="92" customFormat="1" ht="20.1" customHeight="1" spans="1:16">
      <c r="A344" s="157" t="s">
        <v>1743</v>
      </c>
      <c r="B344" s="266" t="s">
        <v>1093</v>
      </c>
      <c r="C344" s="267"/>
      <c r="D344" s="268">
        <f t="shared" si="66"/>
        <v>0</v>
      </c>
      <c r="E344" s="267"/>
      <c r="F344" s="267"/>
      <c r="G344" s="267"/>
      <c r="H344" s="267"/>
      <c r="I344" s="287"/>
      <c r="J344" s="288">
        <f t="shared" si="67"/>
        <v>0</v>
      </c>
      <c r="K344" s="276" t="s">
        <v>1087</v>
      </c>
      <c r="L344" s="33">
        <v>1</v>
      </c>
      <c r="M344" s="157" t="s">
        <v>1743</v>
      </c>
      <c r="N344" s="157"/>
      <c r="O344" s="157" t="s">
        <v>496</v>
      </c>
      <c r="P344" s="164" t="s">
        <v>1094</v>
      </c>
    </row>
    <row r="345" s="92" customFormat="1" ht="20.1" customHeight="1" spans="1:16">
      <c r="A345" s="157" t="s">
        <v>1744</v>
      </c>
      <c r="B345" s="269" t="s">
        <v>1745</v>
      </c>
      <c r="C345" s="267"/>
      <c r="D345" s="268">
        <f t="shared" si="66"/>
        <v>0</v>
      </c>
      <c r="E345" s="267"/>
      <c r="F345" s="267"/>
      <c r="G345" s="267"/>
      <c r="H345" s="267"/>
      <c r="I345" s="287"/>
      <c r="J345" s="288">
        <f t="shared" si="67"/>
        <v>0</v>
      </c>
      <c r="K345" s="276" t="s">
        <v>1087</v>
      </c>
      <c r="L345" s="33">
        <v>1</v>
      </c>
      <c r="M345" s="157" t="s">
        <v>1744</v>
      </c>
      <c r="N345" s="157"/>
      <c r="O345" s="157" t="s">
        <v>496</v>
      </c>
      <c r="P345" s="163" t="s">
        <v>1746</v>
      </c>
    </row>
    <row r="346" s="92" customFormat="1" ht="20.1" customHeight="1" spans="1:16">
      <c r="A346" s="157" t="s">
        <v>1747</v>
      </c>
      <c r="B346" s="269" t="s">
        <v>1748</v>
      </c>
      <c r="C346" s="267"/>
      <c r="D346" s="268">
        <f t="shared" si="66"/>
        <v>0</v>
      </c>
      <c r="E346" s="267"/>
      <c r="F346" s="267"/>
      <c r="G346" s="267"/>
      <c r="H346" s="267"/>
      <c r="I346" s="287"/>
      <c r="J346" s="288">
        <f t="shared" si="67"/>
        <v>0</v>
      </c>
      <c r="K346" s="276" t="s">
        <v>1087</v>
      </c>
      <c r="L346" s="33">
        <v>1</v>
      </c>
      <c r="M346" s="157" t="s">
        <v>1747</v>
      </c>
      <c r="N346" s="157"/>
      <c r="O346" s="157" t="s">
        <v>496</v>
      </c>
      <c r="P346" s="163" t="s">
        <v>1749</v>
      </c>
    </row>
    <row r="347" s="92" customFormat="1" ht="20.1" customHeight="1" spans="1:16">
      <c r="A347" s="157" t="s">
        <v>1750</v>
      </c>
      <c r="B347" s="269" t="s">
        <v>1751</v>
      </c>
      <c r="C347" s="267"/>
      <c r="D347" s="268">
        <f t="shared" si="66"/>
        <v>0</v>
      </c>
      <c r="E347" s="267"/>
      <c r="F347" s="267"/>
      <c r="G347" s="267"/>
      <c r="H347" s="267"/>
      <c r="I347" s="287"/>
      <c r="J347" s="288">
        <f t="shared" si="67"/>
        <v>0</v>
      </c>
      <c r="K347" s="276" t="s">
        <v>1087</v>
      </c>
      <c r="L347" s="33">
        <v>1</v>
      </c>
      <c r="M347" s="157" t="s">
        <v>1750</v>
      </c>
      <c r="N347" s="157"/>
      <c r="O347" s="157" t="s">
        <v>496</v>
      </c>
      <c r="P347" s="163" t="s">
        <v>1752</v>
      </c>
    </row>
    <row r="348" s="92" customFormat="1" ht="20.1" customHeight="1" spans="1:16">
      <c r="A348" s="157" t="s">
        <v>1753</v>
      </c>
      <c r="B348" s="266" t="s">
        <v>1114</v>
      </c>
      <c r="C348" s="267"/>
      <c r="D348" s="268">
        <f t="shared" si="66"/>
        <v>0</v>
      </c>
      <c r="E348" s="267"/>
      <c r="F348" s="267"/>
      <c r="G348" s="267"/>
      <c r="H348" s="267"/>
      <c r="I348" s="287"/>
      <c r="J348" s="288">
        <f t="shared" si="67"/>
        <v>0</v>
      </c>
      <c r="K348" s="276" t="s">
        <v>1087</v>
      </c>
      <c r="L348" s="33">
        <v>1</v>
      </c>
      <c r="M348" s="157" t="s">
        <v>1753</v>
      </c>
      <c r="N348" s="157"/>
      <c r="O348" s="157" t="s">
        <v>496</v>
      </c>
      <c r="P348" s="164" t="s">
        <v>1115</v>
      </c>
    </row>
    <row r="349" s="92" customFormat="1" ht="20.1" customHeight="1" spans="1:16">
      <c r="A349" s="157" t="s">
        <v>1754</v>
      </c>
      <c r="B349" s="266" t="s">
        <v>1755</v>
      </c>
      <c r="C349" s="267"/>
      <c r="D349" s="268">
        <f t="shared" si="66"/>
        <v>0</v>
      </c>
      <c r="E349" s="267"/>
      <c r="F349" s="267"/>
      <c r="G349" s="267"/>
      <c r="H349" s="267"/>
      <c r="I349" s="287"/>
      <c r="J349" s="288">
        <f t="shared" si="67"/>
        <v>0</v>
      </c>
      <c r="K349" s="276" t="s">
        <v>1087</v>
      </c>
      <c r="L349" s="33">
        <v>1</v>
      </c>
      <c r="M349" s="157" t="s">
        <v>1754</v>
      </c>
      <c r="N349" s="157"/>
      <c r="O349" s="157" t="s">
        <v>496</v>
      </c>
      <c r="P349" s="163" t="s">
        <v>1756</v>
      </c>
    </row>
    <row r="350" s="93" customFormat="1" ht="20.1" customHeight="1" spans="1:16">
      <c r="A350" s="263" t="s">
        <v>497</v>
      </c>
      <c r="B350" s="264" t="s">
        <v>263</v>
      </c>
      <c r="C350" s="265">
        <f t="shared" ref="C350:I350" si="71">SUM(C351:C363)</f>
        <v>878</v>
      </c>
      <c r="D350" s="265">
        <f t="shared" si="66"/>
        <v>803</v>
      </c>
      <c r="E350" s="265">
        <f t="shared" si="71"/>
        <v>8</v>
      </c>
      <c r="F350" s="265">
        <f t="shared" si="71"/>
        <v>0</v>
      </c>
      <c r="G350" s="265">
        <f t="shared" si="71"/>
        <v>71</v>
      </c>
      <c r="H350" s="265">
        <f t="shared" si="71"/>
        <v>0</v>
      </c>
      <c r="I350" s="265">
        <f t="shared" si="71"/>
        <v>724</v>
      </c>
      <c r="J350" s="283">
        <f t="shared" si="67"/>
        <v>91.46</v>
      </c>
      <c r="K350" s="284" t="s">
        <v>1082</v>
      </c>
      <c r="L350" s="285"/>
      <c r="M350" s="263" t="s">
        <v>497</v>
      </c>
      <c r="N350" s="263" t="s">
        <v>491</v>
      </c>
      <c r="O350" s="263" t="s">
        <v>497</v>
      </c>
      <c r="P350" s="286" t="s">
        <v>1757</v>
      </c>
    </row>
    <row r="351" s="92" customFormat="1" ht="20.1" customHeight="1" spans="1:16">
      <c r="A351" s="157" t="s">
        <v>1758</v>
      </c>
      <c r="B351" s="269" t="s">
        <v>1086</v>
      </c>
      <c r="C351" s="267">
        <v>688</v>
      </c>
      <c r="D351" s="268">
        <f t="shared" si="66"/>
        <v>666</v>
      </c>
      <c r="E351" s="267"/>
      <c r="F351" s="267"/>
      <c r="G351" s="267"/>
      <c r="H351" s="267"/>
      <c r="I351" s="287">
        <v>666</v>
      </c>
      <c r="J351" s="288">
        <f t="shared" si="67"/>
        <v>96.8</v>
      </c>
      <c r="K351" s="276" t="s">
        <v>1087</v>
      </c>
      <c r="L351" s="33">
        <v>1</v>
      </c>
      <c r="M351" s="157" t="s">
        <v>1758</v>
      </c>
      <c r="N351" s="157"/>
      <c r="O351" s="157" t="s">
        <v>497</v>
      </c>
      <c r="P351" s="164" t="s">
        <v>1088</v>
      </c>
    </row>
    <row r="352" s="92" customFormat="1" ht="20.1" customHeight="1" spans="1:16">
      <c r="A352" s="157" t="s">
        <v>1759</v>
      </c>
      <c r="B352" s="269" t="s">
        <v>1090</v>
      </c>
      <c r="C352" s="267"/>
      <c r="D352" s="268">
        <f t="shared" si="66"/>
        <v>0</v>
      </c>
      <c r="E352" s="267"/>
      <c r="F352" s="267"/>
      <c r="G352" s="267"/>
      <c r="H352" s="267"/>
      <c r="I352" s="287"/>
      <c r="J352" s="288">
        <f t="shared" si="67"/>
        <v>0</v>
      </c>
      <c r="K352" s="276" t="s">
        <v>1087</v>
      </c>
      <c r="L352" s="33">
        <v>1</v>
      </c>
      <c r="M352" s="157" t="s">
        <v>1759</v>
      </c>
      <c r="N352" s="157"/>
      <c r="O352" s="157" t="s">
        <v>497</v>
      </c>
      <c r="P352" s="164" t="s">
        <v>1091</v>
      </c>
    </row>
    <row r="353" s="92" customFormat="1" ht="20.1" customHeight="1" spans="1:16">
      <c r="A353" s="157" t="s">
        <v>1760</v>
      </c>
      <c r="B353" s="269" t="s">
        <v>1093</v>
      </c>
      <c r="C353" s="267"/>
      <c r="D353" s="268">
        <f t="shared" si="66"/>
        <v>0</v>
      </c>
      <c r="E353" s="267"/>
      <c r="F353" s="267"/>
      <c r="G353" s="267"/>
      <c r="H353" s="267"/>
      <c r="I353" s="287"/>
      <c r="J353" s="288">
        <f t="shared" si="67"/>
        <v>0</v>
      </c>
      <c r="K353" s="276" t="s">
        <v>1087</v>
      </c>
      <c r="L353" s="33">
        <v>1</v>
      </c>
      <c r="M353" s="157" t="s">
        <v>1760</v>
      </c>
      <c r="N353" s="157"/>
      <c r="O353" s="157" t="s">
        <v>497</v>
      </c>
      <c r="P353" s="164" t="s">
        <v>1094</v>
      </c>
    </row>
    <row r="354" s="92" customFormat="1" ht="20.1" customHeight="1" spans="1:16">
      <c r="A354" s="157" t="s">
        <v>1761</v>
      </c>
      <c r="B354" s="36" t="s">
        <v>1762</v>
      </c>
      <c r="C354" s="267">
        <v>8</v>
      </c>
      <c r="D354" s="268">
        <f t="shared" si="66"/>
        <v>9</v>
      </c>
      <c r="E354" s="267"/>
      <c r="F354" s="267"/>
      <c r="G354" s="267">
        <v>9</v>
      </c>
      <c r="H354" s="267"/>
      <c r="I354" s="287"/>
      <c r="J354" s="288">
        <f t="shared" si="67"/>
        <v>112.5</v>
      </c>
      <c r="K354" s="276" t="s">
        <v>1087</v>
      </c>
      <c r="L354" s="33">
        <v>1</v>
      </c>
      <c r="M354" s="157" t="s">
        <v>1761</v>
      </c>
      <c r="N354" s="157"/>
      <c r="O354" s="157" t="s">
        <v>497</v>
      </c>
      <c r="P354" s="163" t="s">
        <v>1763</v>
      </c>
    </row>
    <row r="355" s="92" customFormat="1" ht="20.1" customHeight="1" spans="1:16">
      <c r="A355" s="157" t="s">
        <v>1764</v>
      </c>
      <c r="B355" s="266" t="s">
        <v>1765</v>
      </c>
      <c r="C355" s="267"/>
      <c r="D355" s="268">
        <f t="shared" si="66"/>
        <v>32</v>
      </c>
      <c r="E355" s="267"/>
      <c r="F355" s="267"/>
      <c r="G355" s="267"/>
      <c r="H355" s="267"/>
      <c r="I355" s="287">
        <v>32</v>
      </c>
      <c r="J355" s="288">
        <f t="shared" si="67"/>
        <v>100</v>
      </c>
      <c r="K355" s="276" t="s">
        <v>1087</v>
      </c>
      <c r="L355" s="33">
        <v>1</v>
      </c>
      <c r="M355" s="157" t="s">
        <v>1764</v>
      </c>
      <c r="N355" s="157"/>
      <c r="O355" s="157" t="s">
        <v>497</v>
      </c>
      <c r="P355" s="163" t="s">
        <v>1766</v>
      </c>
    </row>
    <row r="356" s="92" customFormat="1" ht="20.1" customHeight="1" spans="1:16">
      <c r="A356" s="157" t="s">
        <v>1767</v>
      </c>
      <c r="B356" s="266" t="s">
        <v>1768</v>
      </c>
      <c r="C356" s="267">
        <v>5</v>
      </c>
      <c r="D356" s="268">
        <f t="shared" si="66"/>
        <v>34</v>
      </c>
      <c r="E356" s="267">
        <v>8</v>
      </c>
      <c r="F356" s="267"/>
      <c r="G356" s="267"/>
      <c r="H356" s="267"/>
      <c r="I356" s="287">
        <v>26</v>
      </c>
      <c r="J356" s="288">
        <f t="shared" si="67"/>
        <v>680</v>
      </c>
      <c r="K356" s="276" t="s">
        <v>1087</v>
      </c>
      <c r="L356" s="33">
        <v>1</v>
      </c>
      <c r="M356" s="157" t="s">
        <v>1767</v>
      </c>
      <c r="N356" s="157"/>
      <c r="O356" s="157" t="s">
        <v>497</v>
      </c>
      <c r="P356" s="163" t="s">
        <v>1769</v>
      </c>
    </row>
    <row r="357" s="92" customFormat="1" ht="20.1" customHeight="1" spans="1:16">
      <c r="A357" s="157" t="s">
        <v>1770</v>
      </c>
      <c r="B357" s="266" t="s">
        <v>1771</v>
      </c>
      <c r="C357" s="267">
        <v>15</v>
      </c>
      <c r="D357" s="268">
        <f t="shared" si="66"/>
        <v>0</v>
      </c>
      <c r="E357" s="267"/>
      <c r="F357" s="267"/>
      <c r="G357" s="267"/>
      <c r="H357" s="267"/>
      <c r="I357" s="287"/>
      <c r="J357" s="288">
        <f t="shared" si="67"/>
        <v>-100</v>
      </c>
      <c r="K357" s="276" t="s">
        <v>1087</v>
      </c>
      <c r="L357" s="33">
        <v>1</v>
      </c>
      <c r="M357" s="157" t="s">
        <v>1770</v>
      </c>
      <c r="N357" s="157"/>
      <c r="O357" s="157" t="s">
        <v>497</v>
      </c>
      <c r="P357" s="163" t="s">
        <v>1772</v>
      </c>
    </row>
    <row r="358" s="92" customFormat="1" ht="20.1" customHeight="1" spans="1:16">
      <c r="A358" s="157" t="s">
        <v>1773</v>
      </c>
      <c r="B358" s="269" t="s">
        <v>1774</v>
      </c>
      <c r="C358" s="267"/>
      <c r="D358" s="268">
        <f t="shared" si="66"/>
        <v>0</v>
      </c>
      <c r="E358" s="267"/>
      <c r="F358" s="267"/>
      <c r="G358" s="267"/>
      <c r="H358" s="267"/>
      <c r="I358" s="287"/>
      <c r="J358" s="288">
        <f t="shared" si="67"/>
        <v>0</v>
      </c>
      <c r="K358" s="276" t="s">
        <v>1087</v>
      </c>
      <c r="L358" s="33">
        <v>1</v>
      </c>
      <c r="M358" s="157" t="s">
        <v>1773</v>
      </c>
      <c r="N358" s="157"/>
      <c r="O358" s="157" t="s">
        <v>497</v>
      </c>
      <c r="P358" s="163" t="s">
        <v>1775</v>
      </c>
    </row>
    <row r="359" s="92" customFormat="1" ht="20.1" customHeight="1" spans="1:16">
      <c r="A359" s="157" t="s">
        <v>1776</v>
      </c>
      <c r="B359" s="269" t="s">
        <v>1777</v>
      </c>
      <c r="C359" s="267"/>
      <c r="D359" s="268">
        <f t="shared" si="66"/>
        <v>0</v>
      </c>
      <c r="E359" s="267"/>
      <c r="F359" s="267"/>
      <c r="G359" s="267"/>
      <c r="H359" s="267"/>
      <c r="I359" s="287"/>
      <c r="J359" s="288">
        <f t="shared" si="67"/>
        <v>0</v>
      </c>
      <c r="K359" s="276" t="s">
        <v>1087</v>
      </c>
      <c r="L359" s="33">
        <v>1</v>
      </c>
      <c r="M359" s="157" t="s">
        <v>1776</v>
      </c>
      <c r="N359" s="157"/>
      <c r="O359" s="157" t="s">
        <v>497</v>
      </c>
      <c r="P359" s="163" t="s">
        <v>1778</v>
      </c>
    </row>
    <row r="360" s="92" customFormat="1" ht="20.1" customHeight="1" spans="1:16">
      <c r="A360" s="157" t="s">
        <v>1779</v>
      </c>
      <c r="B360" s="269" t="s">
        <v>1780</v>
      </c>
      <c r="C360" s="267"/>
      <c r="D360" s="268">
        <f t="shared" si="66"/>
        <v>0</v>
      </c>
      <c r="E360" s="267"/>
      <c r="F360" s="267"/>
      <c r="G360" s="267"/>
      <c r="H360" s="267"/>
      <c r="I360" s="287"/>
      <c r="J360" s="288">
        <f t="shared" si="67"/>
        <v>0</v>
      </c>
      <c r="K360" s="276" t="s">
        <v>1087</v>
      </c>
      <c r="L360" s="33">
        <v>1</v>
      </c>
      <c r="M360" s="157" t="s">
        <v>1779</v>
      </c>
      <c r="N360" s="157"/>
      <c r="O360" s="157" t="s">
        <v>497</v>
      </c>
      <c r="P360" s="164" t="s">
        <v>1781</v>
      </c>
    </row>
    <row r="361" s="92" customFormat="1" ht="20.1" customHeight="1" spans="1:16">
      <c r="A361" s="157" t="s">
        <v>1782</v>
      </c>
      <c r="B361" s="269" t="s">
        <v>1217</v>
      </c>
      <c r="C361" s="267"/>
      <c r="D361" s="268">
        <f t="shared" si="66"/>
        <v>0</v>
      </c>
      <c r="E361" s="267"/>
      <c r="F361" s="267"/>
      <c r="G361" s="267"/>
      <c r="H361" s="267"/>
      <c r="I361" s="287"/>
      <c r="J361" s="288">
        <f t="shared" si="67"/>
        <v>0</v>
      </c>
      <c r="K361" s="276" t="s">
        <v>1087</v>
      </c>
      <c r="L361" s="33">
        <v>1</v>
      </c>
      <c r="M361" s="157" t="s">
        <v>1782</v>
      </c>
      <c r="N361" s="157"/>
      <c r="O361" s="157" t="s">
        <v>497</v>
      </c>
      <c r="P361" s="164" t="s">
        <v>1218</v>
      </c>
    </row>
    <row r="362" s="92" customFormat="1" ht="20.1" customHeight="1" spans="1:16">
      <c r="A362" s="157" t="s">
        <v>1783</v>
      </c>
      <c r="B362" s="269" t="s">
        <v>1114</v>
      </c>
      <c r="C362" s="267"/>
      <c r="D362" s="268">
        <f t="shared" si="66"/>
        <v>0</v>
      </c>
      <c r="E362" s="267"/>
      <c r="F362" s="267"/>
      <c r="G362" s="267"/>
      <c r="H362" s="267"/>
      <c r="I362" s="287"/>
      <c r="J362" s="288">
        <f t="shared" si="67"/>
        <v>0</v>
      </c>
      <c r="K362" s="276" t="s">
        <v>1087</v>
      </c>
      <c r="L362" s="33">
        <v>1</v>
      </c>
      <c r="M362" s="157" t="s">
        <v>1783</v>
      </c>
      <c r="N362" s="157"/>
      <c r="O362" s="157" t="s">
        <v>497</v>
      </c>
      <c r="P362" s="164" t="s">
        <v>1115</v>
      </c>
    </row>
    <row r="363" s="92" customFormat="1" ht="20.1" customHeight="1" spans="1:16">
      <c r="A363" s="157" t="s">
        <v>1784</v>
      </c>
      <c r="B363" s="266" t="s">
        <v>1785</v>
      </c>
      <c r="C363" s="267">
        <v>162</v>
      </c>
      <c r="D363" s="268">
        <f t="shared" si="66"/>
        <v>62</v>
      </c>
      <c r="E363" s="267"/>
      <c r="F363" s="267"/>
      <c r="G363" s="267">
        <v>62</v>
      </c>
      <c r="H363" s="267"/>
      <c r="I363" s="287"/>
      <c r="J363" s="288">
        <f t="shared" si="67"/>
        <v>38.27</v>
      </c>
      <c r="K363" s="276" t="s">
        <v>1087</v>
      </c>
      <c r="L363" s="33">
        <v>1</v>
      </c>
      <c r="M363" s="157" t="s">
        <v>1784</v>
      </c>
      <c r="N363" s="157"/>
      <c r="O363" s="157" t="s">
        <v>497</v>
      </c>
      <c r="P363" s="163" t="s">
        <v>1786</v>
      </c>
    </row>
    <row r="364" s="93" customFormat="1" ht="20.1" customHeight="1" spans="1:16">
      <c r="A364" s="263" t="s">
        <v>498</v>
      </c>
      <c r="B364" s="264" t="s">
        <v>264</v>
      </c>
      <c r="C364" s="265">
        <v>0</v>
      </c>
      <c r="D364" s="265">
        <f t="shared" si="66"/>
        <v>0</v>
      </c>
      <c r="E364" s="265">
        <f t="shared" ref="E364:H364" si="72">SUM(E365:E373)</f>
        <v>0</v>
      </c>
      <c r="F364" s="265">
        <f t="shared" si="72"/>
        <v>0</v>
      </c>
      <c r="G364" s="265">
        <f>VLOOKUP(A364,[1]√表四、2024年公共财政支出变动表!$A$7:$R$214,18,FALSE)</f>
        <v>0</v>
      </c>
      <c r="H364" s="265">
        <f t="shared" si="72"/>
        <v>0</v>
      </c>
      <c r="I364" s="265"/>
      <c r="J364" s="283">
        <f t="shared" si="67"/>
        <v>0</v>
      </c>
      <c r="K364" s="284" t="s">
        <v>1082</v>
      </c>
      <c r="L364" s="285"/>
      <c r="M364" s="263" t="s">
        <v>498</v>
      </c>
      <c r="N364" s="263" t="s">
        <v>491</v>
      </c>
      <c r="O364" s="263" t="s">
        <v>498</v>
      </c>
      <c r="P364" s="286" t="s">
        <v>1787</v>
      </c>
    </row>
    <row r="365" s="92" customFormat="1" ht="20.1" customHeight="1" spans="1:16">
      <c r="A365" s="157" t="s">
        <v>1788</v>
      </c>
      <c r="B365" s="266" t="s">
        <v>1086</v>
      </c>
      <c r="C365" s="267">
        <v>0</v>
      </c>
      <c r="D365" s="268">
        <f t="shared" si="66"/>
        <v>0</v>
      </c>
      <c r="E365" s="267"/>
      <c r="F365" s="267"/>
      <c r="G365" s="267"/>
      <c r="H365" s="267"/>
      <c r="I365" s="287"/>
      <c r="J365" s="288">
        <f t="shared" si="67"/>
        <v>0</v>
      </c>
      <c r="K365" s="276" t="s">
        <v>1087</v>
      </c>
      <c r="L365" s="33">
        <v>1</v>
      </c>
      <c r="M365" s="157" t="s">
        <v>1788</v>
      </c>
      <c r="N365" s="157"/>
      <c r="O365" s="157" t="s">
        <v>498</v>
      </c>
      <c r="P365" s="164" t="s">
        <v>1088</v>
      </c>
    </row>
    <row r="366" s="92" customFormat="1" ht="20.1" customHeight="1" spans="1:16">
      <c r="A366" s="157" t="s">
        <v>1789</v>
      </c>
      <c r="B366" s="269" t="s">
        <v>1090</v>
      </c>
      <c r="C366" s="267">
        <v>0</v>
      </c>
      <c r="D366" s="268">
        <f t="shared" si="66"/>
        <v>0</v>
      </c>
      <c r="E366" s="267"/>
      <c r="F366" s="267"/>
      <c r="G366" s="267"/>
      <c r="H366" s="267"/>
      <c r="I366" s="287"/>
      <c r="J366" s="288">
        <f t="shared" si="67"/>
        <v>0</v>
      </c>
      <c r="K366" s="276" t="s">
        <v>1087</v>
      </c>
      <c r="L366" s="33">
        <v>1</v>
      </c>
      <c r="M366" s="157" t="s">
        <v>1789</v>
      </c>
      <c r="N366" s="157"/>
      <c r="O366" s="157" t="s">
        <v>498</v>
      </c>
      <c r="P366" s="164" t="s">
        <v>1091</v>
      </c>
    </row>
    <row r="367" s="92" customFormat="1" ht="20.1" customHeight="1" spans="1:16">
      <c r="A367" s="157" t="s">
        <v>1790</v>
      </c>
      <c r="B367" s="269" t="s">
        <v>1093</v>
      </c>
      <c r="C367" s="267">
        <v>0</v>
      </c>
      <c r="D367" s="268">
        <f t="shared" si="66"/>
        <v>0</v>
      </c>
      <c r="E367" s="267"/>
      <c r="F367" s="267"/>
      <c r="G367" s="267"/>
      <c r="H367" s="267"/>
      <c r="I367" s="287"/>
      <c r="J367" s="288">
        <f t="shared" si="67"/>
        <v>0</v>
      </c>
      <c r="K367" s="276" t="s">
        <v>1087</v>
      </c>
      <c r="L367" s="33">
        <v>1</v>
      </c>
      <c r="M367" s="157" t="s">
        <v>1790</v>
      </c>
      <c r="N367" s="157"/>
      <c r="O367" s="157" t="s">
        <v>498</v>
      </c>
      <c r="P367" s="164" t="s">
        <v>1094</v>
      </c>
    </row>
    <row r="368" s="92" customFormat="1" ht="20.1" customHeight="1" spans="1:16">
      <c r="A368" s="157" t="s">
        <v>1791</v>
      </c>
      <c r="B368" s="269" t="s">
        <v>1792</v>
      </c>
      <c r="C368" s="267">
        <v>0</v>
      </c>
      <c r="D368" s="268">
        <f t="shared" si="66"/>
        <v>0</v>
      </c>
      <c r="E368" s="267"/>
      <c r="F368" s="267"/>
      <c r="G368" s="267"/>
      <c r="H368" s="267"/>
      <c r="I368" s="287"/>
      <c r="J368" s="288">
        <f t="shared" si="67"/>
        <v>0</v>
      </c>
      <c r="K368" s="276" t="s">
        <v>1087</v>
      </c>
      <c r="L368" s="33">
        <v>1</v>
      </c>
      <c r="M368" s="157" t="s">
        <v>1791</v>
      </c>
      <c r="N368" s="157"/>
      <c r="O368" s="157" t="s">
        <v>498</v>
      </c>
      <c r="P368" s="163" t="s">
        <v>1793</v>
      </c>
    </row>
    <row r="369" s="92" customFormat="1" ht="20.1" customHeight="1" spans="1:16">
      <c r="A369" s="157" t="s">
        <v>1794</v>
      </c>
      <c r="B369" s="36" t="s">
        <v>1795</v>
      </c>
      <c r="C369" s="267">
        <v>0</v>
      </c>
      <c r="D369" s="268">
        <f t="shared" si="66"/>
        <v>0</v>
      </c>
      <c r="E369" s="267"/>
      <c r="F369" s="267"/>
      <c r="G369" s="267"/>
      <c r="H369" s="267"/>
      <c r="I369" s="287"/>
      <c r="J369" s="288">
        <f t="shared" si="67"/>
        <v>0</v>
      </c>
      <c r="K369" s="276" t="s">
        <v>1087</v>
      </c>
      <c r="L369" s="33">
        <v>1</v>
      </c>
      <c r="M369" s="157" t="s">
        <v>1794</v>
      </c>
      <c r="N369" s="157"/>
      <c r="O369" s="157" t="s">
        <v>498</v>
      </c>
      <c r="P369" s="163" t="s">
        <v>1796</v>
      </c>
    </row>
    <row r="370" s="92" customFormat="1" ht="20.1" customHeight="1" spans="1:16">
      <c r="A370" s="157" t="s">
        <v>1797</v>
      </c>
      <c r="B370" s="266" t="s">
        <v>1798</v>
      </c>
      <c r="C370" s="267">
        <v>0</v>
      </c>
      <c r="D370" s="268">
        <f t="shared" si="66"/>
        <v>0</v>
      </c>
      <c r="E370" s="267"/>
      <c r="F370" s="267"/>
      <c r="G370" s="267"/>
      <c r="H370" s="267"/>
      <c r="I370" s="287"/>
      <c r="J370" s="288">
        <f t="shared" si="67"/>
        <v>0</v>
      </c>
      <c r="K370" s="276" t="s">
        <v>1087</v>
      </c>
      <c r="L370" s="33">
        <v>1</v>
      </c>
      <c r="M370" s="157" t="s">
        <v>1797</v>
      </c>
      <c r="N370" s="157"/>
      <c r="O370" s="157" t="s">
        <v>498</v>
      </c>
      <c r="P370" s="163" t="s">
        <v>1799</v>
      </c>
    </row>
    <row r="371" s="92" customFormat="1" ht="20.1" customHeight="1" spans="1:16">
      <c r="A371" s="157" t="s">
        <v>1800</v>
      </c>
      <c r="B371" s="266" t="s">
        <v>1217</v>
      </c>
      <c r="C371" s="267">
        <v>0</v>
      </c>
      <c r="D371" s="268">
        <f t="shared" si="66"/>
        <v>0</v>
      </c>
      <c r="E371" s="267"/>
      <c r="F371" s="267"/>
      <c r="G371" s="267"/>
      <c r="H371" s="267"/>
      <c r="I371" s="287"/>
      <c r="J371" s="288">
        <f t="shared" si="67"/>
        <v>0</v>
      </c>
      <c r="K371" s="276" t="s">
        <v>1087</v>
      </c>
      <c r="L371" s="33">
        <v>1</v>
      </c>
      <c r="M371" s="157" t="s">
        <v>1800</v>
      </c>
      <c r="N371" s="157"/>
      <c r="O371" s="157" t="s">
        <v>498</v>
      </c>
      <c r="P371" s="164" t="s">
        <v>1218</v>
      </c>
    </row>
    <row r="372" s="92" customFormat="1" ht="20.1" customHeight="1" spans="1:16">
      <c r="A372" s="157" t="s">
        <v>1801</v>
      </c>
      <c r="B372" s="266" t="s">
        <v>1114</v>
      </c>
      <c r="C372" s="267">
        <v>0</v>
      </c>
      <c r="D372" s="268">
        <f t="shared" si="66"/>
        <v>0</v>
      </c>
      <c r="E372" s="267"/>
      <c r="F372" s="267"/>
      <c r="G372" s="267"/>
      <c r="H372" s="267"/>
      <c r="I372" s="287"/>
      <c r="J372" s="288">
        <f t="shared" si="67"/>
        <v>0</v>
      </c>
      <c r="K372" s="276" t="s">
        <v>1087</v>
      </c>
      <c r="L372" s="33">
        <v>1</v>
      </c>
      <c r="M372" s="157" t="s">
        <v>1801</v>
      </c>
      <c r="N372" s="157"/>
      <c r="O372" s="157" t="s">
        <v>498</v>
      </c>
      <c r="P372" s="164" t="s">
        <v>1115</v>
      </c>
    </row>
    <row r="373" s="92" customFormat="1" ht="20.1" customHeight="1" spans="1:16">
      <c r="A373" s="157" t="s">
        <v>1802</v>
      </c>
      <c r="B373" s="266" t="s">
        <v>1803</v>
      </c>
      <c r="C373" s="267">
        <v>0</v>
      </c>
      <c r="D373" s="268">
        <f t="shared" si="66"/>
        <v>0</v>
      </c>
      <c r="E373" s="267"/>
      <c r="F373" s="267"/>
      <c r="G373" s="267"/>
      <c r="H373" s="267"/>
      <c r="I373" s="287"/>
      <c r="J373" s="288">
        <f t="shared" si="67"/>
        <v>0</v>
      </c>
      <c r="K373" s="276" t="s">
        <v>1087</v>
      </c>
      <c r="L373" s="33">
        <v>1</v>
      </c>
      <c r="M373" s="157" t="s">
        <v>1802</v>
      </c>
      <c r="N373" s="157"/>
      <c r="O373" s="157" t="s">
        <v>498</v>
      </c>
      <c r="P373" s="163" t="s">
        <v>1804</v>
      </c>
    </row>
    <row r="374" s="93" customFormat="1" ht="20.1" customHeight="1" spans="1:16">
      <c r="A374" s="263" t="s">
        <v>499</v>
      </c>
      <c r="B374" s="264" t="s">
        <v>265</v>
      </c>
      <c r="C374" s="265">
        <v>0</v>
      </c>
      <c r="D374" s="265">
        <f t="shared" si="66"/>
        <v>0</v>
      </c>
      <c r="E374" s="265">
        <f t="shared" ref="E374:H374" si="73">SUM(E375:E383)</f>
        <v>0</v>
      </c>
      <c r="F374" s="265">
        <f t="shared" si="73"/>
        <v>0</v>
      </c>
      <c r="G374" s="265">
        <f>VLOOKUP(A374,[1]√表四、2024年公共财政支出变动表!$A$7:$R$214,18,FALSE)</f>
        <v>0</v>
      </c>
      <c r="H374" s="265">
        <f t="shared" si="73"/>
        <v>0</v>
      </c>
      <c r="I374" s="265"/>
      <c r="J374" s="283">
        <f t="shared" si="67"/>
        <v>0</v>
      </c>
      <c r="K374" s="284" t="s">
        <v>1082</v>
      </c>
      <c r="L374" s="285"/>
      <c r="M374" s="263" t="s">
        <v>499</v>
      </c>
      <c r="N374" s="263" t="s">
        <v>491</v>
      </c>
      <c r="O374" s="263" t="s">
        <v>499</v>
      </c>
      <c r="P374" s="286" t="s">
        <v>1805</v>
      </c>
    </row>
    <row r="375" s="92" customFormat="1" ht="20.1" customHeight="1" spans="1:16">
      <c r="A375" s="157" t="s">
        <v>1806</v>
      </c>
      <c r="B375" s="269" t="s">
        <v>1086</v>
      </c>
      <c r="C375" s="267">
        <v>0</v>
      </c>
      <c r="D375" s="268">
        <f t="shared" si="66"/>
        <v>0</v>
      </c>
      <c r="E375" s="267"/>
      <c r="F375" s="267"/>
      <c r="G375" s="267"/>
      <c r="H375" s="267"/>
      <c r="I375" s="287"/>
      <c r="J375" s="288">
        <f t="shared" si="67"/>
        <v>0</v>
      </c>
      <c r="K375" s="276" t="s">
        <v>1087</v>
      </c>
      <c r="L375" s="33">
        <v>1</v>
      </c>
      <c r="M375" s="157" t="s">
        <v>1806</v>
      </c>
      <c r="N375" s="157"/>
      <c r="O375" s="157" t="s">
        <v>499</v>
      </c>
      <c r="P375" s="164" t="s">
        <v>1088</v>
      </c>
    </row>
    <row r="376" s="92" customFormat="1" ht="20.1" customHeight="1" spans="1:16">
      <c r="A376" s="157" t="s">
        <v>1807</v>
      </c>
      <c r="B376" s="269" t="s">
        <v>1090</v>
      </c>
      <c r="C376" s="267">
        <v>0</v>
      </c>
      <c r="D376" s="268">
        <f t="shared" si="66"/>
        <v>0</v>
      </c>
      <c r="E376" s="267"/>
      <c r="F376" s="267"/>
      <c r="G376" s="267"/>
      <c r="H376" s="267"/>
      <c r="I376" s="287"/>
      <c r="J376" s="288">
        <f t="shared" si="67"/>
        <v>0</v>
      </c>
      <c r="K376" s="276" t="s">
        <v>1087</v>
      </c>
      <c r="L376" s="33">
        <v>1</v>
      </c>
      <c r="M376" s="157" t="s">
        <v>1807</v>
      </c>
      <c r="N376" s="157"/>
      <c r="O376" s="157" t="s">
        <v>499</v>
      </c>
      <c r="P376" s="164" t="s">
        <v>1091</v>
      </c>
    </row>
    <row r="377" s="92" customFormat="1" ht="20.1" customHeight="1" spans="1:16">
      <c r="A377" s="157" t="s">
        <v>1808</v>
      </c>
      <c r="B377" s="266" t="s">
        <v>1093</v>
      </c>
      <c r="C377" s="267">
        <v>0</v>
      </c>
      <c r="D377" s="268">
        <f t="shared" si="66"/>
        <v>0</v>
      </c>
      <c r="E377" s="267"/>
      <c r="F377" s="267"/>
      <c r="G377" s="267"/>
      <c r="H377" s="267"/>
      <c r="I377" s="287"/>
      <c r="J377" s="288">
        <f t="shared" si="67"/>
        <v>0</v>
      </c>
      <c r="K377" s="276" t="s">
        <v>1087</v>
      </c>
      <c r="L377" s="33">
        <v>1</v>
      </c>
      <c r="M377" s="157" t="s">
        <v>1808</v>
      </c>
      <c r="N377" s="157"/>
      <c r="O377" s="157" t="s">
        <v>499</v>
      </c>
      <c r="P377" s="164" t="s">
        <v>1094</v>
      </c>
    </row>
    <row r="378" s="92" customFormat="1" ht="20.1" customHeight="1" spans="1:16">
      <c r="A378" s="157" t="s">
        <v>1809</v>
      </c>
      <c r="B378" s="266" t="s">
        <v>1810</v>
      </c>
      <c r="C378" s="267">
        <v>0</v>
      </c>
      <c r="D378" s="268">
        <f t="shared" si="66"/>
        <v>0</v>
      </c>
      <c r="E378" s="267"/>
      <c r="F378" s="267"/>
      <c r="G378" s="267"/>
      <c r="H378" s="267"/>
      <c r="I378" s="287"/>
      <c r="J378" s="288">
        <f t="shared" si="67"/>
        <v>0</v>
      </c>
      <c r="K378" s="276" t="s">
        <v>1087</v>
      </c>
      <c r="L378" s="33">
        <v>1</v>
      </c>
      <c r="M378" s="157" t="s">
        <v>1809</v>
      </c>
      <c r="N378" s="157"/>
      <c r="O378" s="157" t="s">
        <v>499</v>
      </c>
      <c r="P378" s="163" t="s">
        <v>1811</v>
      </c>
    </row>
    <row r="379" s="92" customFormat="1" ht="20.1" customHeight="1" spans="1:16">
      <c r="A379" s="157" t="s">
        <v>1812</v>
      </c>
      <c r="B379" s="266" t="s">
        <v>1813</v>
      </c>
      <c r="C379" s="267">
        <v>0</v>
      </c>
      <c r="D379" s="268">
        <f t="shared" si="66"/>
        <v>0</v>
      </c>
      <c r="E379" s="267"/>
      <c r="F379" s="267"/>
      <c r="G379" s="267"/>
      <c r="H379" s="267"/>
      <c r="I379" s="287"/>
      <c r="J379" s="288">
        <f t="shared" si="67"/>
        <v>0</v>
      </c>
      <c r="K379" s="276" t="s">
        <v>1087</v>
      </c>
      <c r="L379" s="33">
        <v>1</v>
      </c>
      <c r="M379" s="157" t="s">
        <v>1812</v>
      </c>
      <c r="N379" s="157"/>
      <c r="O379" s="157" t="s">
        <v>499</v>
      </c>
      <c r="P379" s="163" t="s">
        <v>1814</v>
      </c>
    </row>
    <row r="380" s="92" customFormat="1" ht="20.1" customHeight="1" spans="1:16">
      <c r="A380" s="157" t="s">
        <v>1815</v>
      </c>
      <c r="B380" s="269" t="s">
        <v>1816</v>
      </c>
      <c r="C380" s="267">
        <v>0</v>
      </c>
      <c r="D380" s="268">
        <f t="shared" si="66"/>
        <v>0</v>
      </c>
      <c r="E380" s="267"/>
      <c r="F380" s="267"/>
      <c r="G380" s="267"/>
      <c r="H380" s="267"/>
      <c r="I380" s="287"/>
      <c r="J380" s="288">
        <f t="shared" si="67"/>
        <v>0</v>
      </c>
      <c r="K380" s="276" t="s">
        <v>1087</v>
      </c>
      <c r="L380" s="33">
        <v>1</v>
      </c>
      <c r="M380" s="157" t="s">
        <v>1815</v>
      </c>
      <c r="N380" s="157"/>
      <c r="O380" s="157" t="s">
        <v>499</v>
      </c>
      <c r="P380" s="163" t="s">
        <v>1817</v>
      </c>
    </row>
    <row r="381" s="92" customFormat="1" ht="20.1" customHeight="1" spans="1:16">
      <c r="A381" s="157" t="s">
        <v>1818</v>
      </c>
      <c r="B381" s="269" t="s">
        <v>1217</v>
      </c>
      <c r="C381" s="267">
        <v>0</v>
      </c>
      <c r="D381" s="268">
        <f t="shared" si="66"/>
        <v>0</v>
      </c>
      <c r="E381" s="267"/>
      <c r="F381" s="267"/>
      <c r="G381" s="267"/>
      <c r="H381" s="267"/>
      <c r="I381" s="287"/>
      <c r="J381" s="288">
        <f t="shared" si="67"/>
        <v>0</v>
      </c>
      <c r="K381" s="276" t="s">
        <v>1087</v>
      </c>
      <c r="L381" s="33">
        <v>1</v>
      </c>
      <c r="M381" s="157" t="s">
        <v>1818</v>
      </c>
      <c r="N381" s="157"/>
      <c r="O381" s="157" t="s">
        <v>499</v>
      </c>
      <c r="P381" s="164" t="s">
        <v>1218</v>
      </c>
    </row>
    <row r="382" s="92" customFormat="1" ht="20.1" customHeight="1" spans="1:16">
      <c r="A382" s="157" t="s">
        <v>1819</v>
      </c>
      <c r="B382" s="269" t="s">
        <v>1114</v>
      </c>
      <c r="C382" s="267">
        <v>0</v>
      </c>
      <c r="D382" s="268">
        <f t="shared" si="66"/>
        <v>0</v>
      </c>
      <c r="E382" s="267"/>
      <c r="F382" s="267"/>
      <c r="G382" s="267"/>
      <c r="H382" s="267"/>
      <c r="I382" s="287"/>
      <c r="J382" s="288">
        <f t="shared" si="67"/>
        <v>0</v>
      </c>
      <c r="K382" s="276" t="s">
        <v>1087</v>
      </c>
      <c r="L382" s="33">
        <v>1</v>
      </c>
      <c r="M382" s="157" t="s">
        <v>1819</v>
      </c>
      <c r="N382" s="157"/>
      <c r="O382" s="157" t="s">
        <v>499</v>
      </c>
      <c r="P382" s="164" t="s">
        <v>1115</v>
      </c>
    </row>
    <row r="383" s="92" customFormat="1" ht="20.1" customHeight="1" spans="1:16">
      <c r="A383" s="157" t="s">
        <v>1820</v>
      </c>
      <c r="B383" s="269" t="s">
        <v>1821</v>
      </c>
      <c r="C383" s="267">
        <v>0</v>
      </c>
      <c r="D383" s="268">
        <f t="shared" si="66"/>
        <v>0</v>
      </c>
      <c r="E383" s="267"/>
      <c r="F383" s="267"/>
      <c r="G383" s="267"/>
      <c r="H383" s="267"/>
      <c r="I383" s="287"/>
      <c r="J383" s="288">
        <f t="shared" si="67"/>
        <v>0</v>
      </c>
      <c r="K383" s="276" t="s">
        <v>1087</v>
      </c>
      <c r="L383" s="33">
        <v>1</v>
      </c>
      <c r="M383" s="157" t="s">
        <v>1820</v>
      </c>
      <c r="N383" s="157"/>
      <c r="O383" s="157" t="s">
        <v>499</v>
      </c>
      <c r="P383" s="163" t="s">
        <v>1822</v>
      </c>
    </row>
    <row r="384" s="93" customFormat="1" ht="20.1" customHeight="1" spans="1:16">
      <c r="A384" s="263" t="s">
        <v>500</v>
      </c>
      <c r="B384" s="264" t="s">
        <v>266</v>
      </c>
      <c r="C384" s="265">
        <f t="shared" ref="C384:I384" si="74">SUM(C385:C391)</f>
        <v>0</v>
      </c>
      <c r="D384" s="265">
        <f t="shared" si="66"/>
        <v>0</v>
      </c>
      <c r="E384" s="265">
        <f t="shared" si="74"/>
        <v>0</v>
      </c>
      <c r="F384" s="265">
        <f t="shared" si="74"/>
        <v>0</v>
      </c>
      <c r="G384" s="265">
        <f t="shared" si="74"/>
        <v>0</v>
      </c>
      <c r="H384" s="265">
        <f t="shared" si="74"/>
        <v>0</v>
      </c>
      <c r="I384" s="265">
        <f t="shared" si="74"/>
        <v>0</v>
      </c>
      <c r="J384" s="283">
        <f t="shared" si="67"/>
        <v>0</v>
      </c>
      <c r="K384" s="284" t="s">
        <v>1082</v>
      </c>
      <c r="L384" s="285"/>
      <c r="M384" s="263" t="s">
        <v>500</v>
      </c>
      <c r="N384" s="263" t="s">
        <v>491</v>
      </c>
      <c r="O384" s="263" t="s">
        <v>500</v>
      </c>
      <c r="P384" s="286" t="s">
        <v>1823</v>
      </c>
    </row>
    <row r="385" s="92" customFormat="1" ht="20.1" customHeight="1" spans="1:16">
      <c r="A385" s="157" t="s">
        <v>1824</v>
      </c>
      <c r="B385" s="266" t="s">
        <v>1086</v>
      </c>
      <c r="C385" s="267">
        <v>0</v>
      </c>
      <c r="D385" s="268">
        <f t="shared" si="66"/>
        <v>0</v>
      </c>
      <c r="E385" s="267"/>
      <c r="F385" s="267"/>
      <c r="G385" s="267"/>
      <c r="H385" s="267"/>
      <c r="I385" s="287"/>
      <c r="J385" s="288">
        <f t="shared" si="67"/>
        <v>0</v>
      </c>
      <c r="K385" s="276" t="s">
        <v>1087</v>
      </c>
      <c r="L385" s="33">
        <v>1</v>
      </c>
      <c r="M385" s="157" t="s">
        <v>1824</v>
      </c>
      <c r="N385" s="157"/>
      <c r="O385" s="157" t="s">
        <v>500</v>
      </c>
      <c r="P385" s="164" t="s">
        <v>1088</v>
      </c>
    </row>
    <row r="386" s="92" customFormat="1" ht="20.1" customHeight="1" spans="1:16">
      <c r="A386" s="157" t="s">
        <v>1825</v>
      </c>
      <c r="B386" s="266" t="s">
        <v>1090</v>
      </c>
      <c r="C386" s="267">
        <v>0</v>
      </c>
      <c r="D386" s="268">
        <f t="shared" si="66"/>
        <v>0</v>
      </c>
      <c r="E386" s="267"/>
      <c r="F386" s="267"/>
      <c r="G386" s="267"/>
      <c r="H386" s="267"/>
      <c r="I386" s="287"/>
      <c r="J386" s="288">
        <f t="shared" si="67"/>
        <v>0</v>
      </c>
      <c r="K386" s="276" t="s">
        <v>1087</v>
      </c>
      <c r="L386" s="33">
        <v>1</v>
      </c>
      <c r="M386" s="157" t="s">
        <v>1825</v>
      </c>
      <c r="N386" s="157"/>
      <c r="O386" s="157" t="s">
        <v>500</v>
      </c>
      <c r="P386" s="164" t="s">
        <v>1091</v>
      </c>
    </row>
    <row r="387" s="92" customFormat="1" ht="20.1" customHeight="1" spans="1:16">
      <c r="A387" s="157" t="s">
        <v>1826</v>
      </c>
      <c r="B387" s="266" t="s">
        <v>1093</v>
      </c>
      <c r="C387" s="267">
        <v>0</v>
      </c>
      <c r="D387" s="268">
        <f t="shared" si="66"/>
        <v>0</v>
      </c>
      <c r="E387" s="267"/>
      <c r="F387" s="267"/>
      <c r="G387" s="267"/>
      <c r="H387" s="267"/>
      <c r="I387" s="287"/>
      <c r="J387" s="288">
        <f t="shared" si="67"/>
        <v>0</v>
      </c>
      <c r="K387" s="276" t="s">
        <v>1087</v>
      </c>
      <c r="L387" s="33">
        <v>1</v>
      </c>
      <c r="M387" s="157" t="s">
        <v>1826</v>
      </c>
      <c r="N387" s="157"/>
      <c r="O387" s="157" t="s">
        <v>500</v>
      </c>
      <c r="P387" s="164" t="s">
        <v>1094</v>
      </c>
    </row>
    <row r="388" s="92" customFormat="1" ht="20.1" customHeight="1" spans="1:16">
      <c r="A388" s="157" t="s">
        <v>1827</v>
      </c>
      <c r="B388" s="269" t="s">
        <v>1828</v>
      </c>
      <c r="C388" s="267">
        <v>0</v>
      </c>
      <c r="D388" s="268">
        <f t="shared" ref="D388:D451" si="75">SUM(E388:I388)</f>
        <v>0</v>
      </c>
      <c r="E388" s="267"/>
      <c r="F388" s="267"/>
      <c r="G388" s="267"/>
      <c r="H388" s="267"/>
      <c r="I388" s="287"/>
      <c r="J388" s="288">
        <f t="shared" ref="J388:J398" si="76">ROUND(IF(C388=0,IF(D388=0,0,1),IF(D388=0,-1,D388/C388)),4)*100</f>
        <v>0</v>
      </c>
      <c r="K388" s="276" t="s">
        <v>1087</v>
      </c>
      <c r="L388" s="33">
        <v>1</v>
      </c>
      <c r="M388" s="157" t="s">
        <v>1827</v>
      </c>
      <c r="N388" s="157"/>
      <c r="O388" s="157" t="s">
        <v>500</v>
      </c>
      <c r="P388" s="163" t="s">
        <v>1829</v>
      </c>
    </row>
    <row r="389" s="92" customFormat="1" ht="20.1" customHeight="1" spans="1:16">
      <c r="A389" s="157" t="s">
        <v>1830</v>
      </c>
      <c r="B389" s="269" t="s">
        <v>1831</v>
      </c>
      <c r="C389" s="267">
        <v>0</v>
      </c>
      <c r="D389" s="268">
        <f t="shared" si="75"/>
        <v>0</v>
      </c>
      <c r="E389" s="267"/>
      <c r="F389" s="267"/>
      <c r="G389" s="267"/>
      <c r="H389" s="267"/>
      <c r="I389" s="287"/>
      <c r="J389" s="288">
        <f t="shared" si="76"/>
        <v>0</v>
      </c>
      <c r="K389" s="276" t="s">
        <v>1087</v>
      </c>
      <c r="L389" s="33">
        <v>1</v>
      </c>
      <c r="M389" s="157" t="s">
        <v>1830</v>
      </c>
      <c r="N389" s="157"/>
      <c r="O389" s="157" t="s">
        <v>500</v>
      </c>
      <c r="P389" s="163" t="s">
        <v>1832</v>
      </c>
    </row>
    <row r="390" s="92" customFormat="1" ht="20.1" customHeight="1" spans="1:16">
      <c r="A390" s="157" t="s">
        <v>1833</v>
      </c>
      <c r="B390" s="269" t="s">
        <v>1114</v>
      </c>
      <c r="C390" s="267">
        <v>0</v>
      </c>
      <c r="D390" s="268">
        <f t="shared" si="75"/>
        <v>0</v>
      </c>
      <c r="E390" s="267"/>
      <c r="F390" s="267"/>
      <c r="G390" s="267"/>
      <c r="H390" s="267"/>
      <c r="I390" s="287"/>
      <c r="J390" s="288">
        <f t="shared" si="76"/>
        <v>0</v>
      </c>
      <c r="K390" s="276" t="s">
        <v>1087</v>
      </c>
      <c r="L390" s="33">
        <v>1</v>
      </c>
      <c r="M390" s="157" t="s">
        <v>1833</v>
      </c>
      <c r="N390" s="157"/>
      <c r="O390" s="157" t="s">
        <v>500</v>
      </c>
      <c r="P390" s="164" t="s">
        <v>1115</v>
      </c>
    </row>
    <row r="391" s="92" customFormat="1" ht="20.1" customHeight="1" spans="1:16">
      <c r="A391" s="157" t="s">
        <v>1834</v>
      </c>
      <c r="B391" s="266" t="s">
        <v>1835</v>
      </c>
      <c r="C391" s="267">
        <v>0</v>
      </c>
      <c r="D391" s="268">
        <f t="shared" si="75"/>
        <v>0</v>
      </c>
      <c r="E391" s="267"/>
      <c r="F391" s="267"/>
      <c r="G391" s="267"/>
      <c r="H391" s="267"/>
      <c r="I391" s="287"/>
      <c r="J391" s="288">
        <f t="shared" si="76"/>
        <v>0</v>
      </c>
      <c r="K391" s="276" t="s">
        <v>1087</v>
      </c>
      <c r="L391" s="33">
        <v>1</v>
      </c>
      <c r="M391" s="157" t="s">
        <v>1834</v>
      </c>
      <c r="N391" s="157"/>
      <c r="O391" s="157" t="s">
        <v>500</v>
      </c>
      <c r="P391" s="163" t="s">
        <v>1836</v>
      </c>
    </row>
    <row r="392" s="93" customFormat="1" ht="20.1" customHeight="1" spans="1:16">
      <c r="A392" s="263" t="s">
        <v>501</v>
      </c>
      <c r="B392" s="264" t="s">
        <v>267</v>
      </c>
      <c r="C392" s="265">
        <f t="shared" ref="C392:I392" si="77">SUM(C393:C397)</f>
        <v>0</v>
      </c>
      <c r="D392" s="265">
        <f t="shared" si="75"/>
        <v>0</v>
      </c>
      <c r="E392" s="265">
        <f t="shared" si="77"/>
        <v>0</v>
      </c>
      <c r="F392" s="265">
        <f t="shared" si="77"/>
        <v>0</v>
      </c>
      <c r="G392" s="265">
        <f t="shared" si="77"/>
        <v>0</v>
      </c>
      <c r="H392" s="265">
        <f t="shared" si="77"/>
        <v>0</v>
      </c>
      <c r="I392" s="265">
        <f t="shared" si="77"/>
        <v>0</v>
      </c>
      <c r="J392" s="283">
        <f t="shared" si="76"/>
        <v>0</v>
      </c>
      <c r="K392" s="284" t="s">
        <v>1082</v>
      </c>
      <c r="L392" s="285"/>
      <c r="M392" s="263" t="s">
        <v>501</v>
      </c>
      <c r="N392" s="263" t="s">
        <v>491</v>
      </c>
      <c r="O392" s="263" t="s">
        <v>501</v>
      </c>
      <c r="P392" s="286" t="s">
        <v>1837</v>
      </c>
    </row>
    <row r="393" s="92" customFormat="1" ht="20.1" customHeight="1" spans="1:16">
      <c r="A393" s="157" t="s">
        <v>1838</v>
      </c>
      <c r="B393" s="266" t="s">
        <v>1086</v>
      </c>
      <c r="C393" s="267">
        <v>0</v>
      </c>
      <c r="D393" s="268">
        <f t="shared" si="75"/>
        <v>0</v>
      </c>
      <c r="E393" s="267"/>
      <c r="F393" s="267"/>
      <c r="G393" s="267"/>
      <c r="H393" s="267"/>
      <c r="I393" s="287"/>
      <c r="J393" s="288">
        <f t="shared" si="76"/>
        <v>0</v>
      </c>
      <c r="K393" s="276" t="s">
        <v>1087</v>
      </c>
      <c r="L393" s="33">
        <v>1</v>
      </c>
      <c r="M393" s="157" t="s">
        <v>1838</v>
      </c>
      <c r="N393" s="157"/>
      <c r="O393" s="157" t="s">
        <v>501</v>
      </c>
      <c r="P393" s="164" t="s">
        <v>1088</v>
      </c>
    </row>
    <row r="394" s="92" customFormat="1" ht="20.1" customHeight="1" spans="1:16">
      <c r="A394" s="157" t="s">
        <v>1839</v>
      </c>
      <c r="B394" s="269" t="s">
        <v>1090</v>
      </c>
      <c r="C394" s="267">
        <v>0</v>
      </c>
      <c r="D394" s="268">
        <f t="shared" si="75"/>
        <v>0</v>
      </c>
      <c r="E394" s="267"/>
      <c r="F394" s="267"/>
      <c r="G394" s="267"/>
      <c r="H394" s="267"/>
      <c r="I394" s="287"/>
      <c r="J394" s="288">
        <f t="shared" si="76"/>
        <v>0</v>
      </c>
      <c r="K394" s="276" t="s">
        <v>1087</v>
      </c>
      <c r="L394" s="33">
        <v>1</v>
      </c>
      <c r="M394" s="157" t="s">
        <v>1839</v>
      </c>
      <c r="N394" s="157"/>
      <c r="O394" s="157" t="s">
        <v>501</v>
      </c>
      <c r="P394" s="164" t="s">
        <v>1091</v>
      </c>
    </row>
    <row r="395" s="92" customFormat="1" ht="20.1" customHeight="1" spans="1:16">
      <c r="A395" s="157" t="s">
        <v>1840</v>
      </c>
      <c r="B395" s="266" t="s">
        <v>1217</v>
      </c>
      <c r="C395" s="267">
        <v>0</v>
      </c>
      <c r="D395" s="268">
        <f t="shared" si="75"/>
        <v>0</v>
      </c>
      <c r="E395" s="267"/>
      <c r="F395" s="267"/>
      <c r="G395" s="267"/>
      <c r="H395" s="267"/>
      <c r="I395" s="287"/>
      <c r="J395" s="288">
        <f t="shared" si="76"/>
        <v>0</v>
      </c>
      <c r="K395" s="276" t="s">
        <v>1087</v>
      </c>
      <c r="L395" s="33">
        <v>1</v>
      </c>
      <c r="M395" s="157" t="s">
        <v>1840</v>
      </c>
      <c r="N395" s="157"/>
      <c r="O395" s="157" t="s">
        <v>501</v>
      </c>
      <c r="P395" s="164" t="s">
        <v>1218</v>
      </c>
    </row>
    <row r="396" s="92" customFormat="1" ht="20.1" customHeight="1" spans="1:16">
      <c r="A396" s="157" t="s">
        <v>1841</v>
      </c>
      <c r="B396" s="266" t="s">
        <v>1842</v>
      </c>
      <c r="C396" s="267">
        <v>0</v>
      </c>
      <c r="D396" s="268">
        <f t="shared" si="75"/>
        <v>0</v>
      </c>
      <c r="E396" s="267"/>
      <c r="F396" s="267"/>
      <c r="G396" s="267"/>
      <c r="H396" s="267"/>
      <c r="I396" s="287"/>
      <c r="J396" s="288">
        <f t="shared" si="76"/>
        <v>0</v>
      </c>
      <c r="K396" s="276" t="s">
        <v>1087</v>
      </c>
      <c r="L396" s="33">
        <v>1</v>
      </c>
      <c r="M396" s="157" t="s">
        <v>1841</v>
      </c>
      <c r="N396" s="157"/>
      <c r="O396" s="157" t="s">
        <v>501</v>
      </c>
      <c r="P396" s="164" t="s">
        <v>1843</v>
      </c>
    </row>
    <row r="397" s="92" customFormat="1" ht="20.1" customHeight="1" spans="1:16">
      <c r="A397" s="157" t="s">
        <v>1844</v>
      </c>
      <c r="B397" s="266" t="s">
        <v>1845</v>
      </c>
      <c r="C397" s="267">
        <v>0</v>
      </c>
      <c r="D397" s="268">
        <f t="shared" si="75"/>
        <v>0</v>
      </c>
      <c r="E397" s="267"/>
      <c r="F397" s="267"/>
      <c r="G397" s="267"/>
      <c r="H397" s="267"/>
      <c r="I397" s="287"/>
      <c r="J397" s="288">
        <f t="shared" si="76"/>
        <v>0</v>
      </c>
      <c r="K397" s="276" t="s">
        <v>1087</v>
      </c>
      <c r="L397" s="33">
        <v>1</v>
      </c>
      <c r="M397" s="157" t="s">
        <v>1844</v>
      </c>
      <c r="N397" s="157"/>
      <c r="O397" s="157" t="s">
        <v>501</v>
      </c>
      <c r="P397" s="163" t="s">
        <v>1846</v>
      </c>
    </row>
    <row r="398" s="93" customFormat="1" ht="20.1" customHeight="1" spans="1:16">
      <c r="A398" s="263" t="s">
        <v>502</v>
      </c>
      <c r="B398" s="264" t="s">
        <v>268</v>
      </c>
      <c r="C398" s="265">
        <f t="shared" ref="C398:I398" si="78">SUM(C399:C400)</f>
        <v>55</v>
      </c>
      <c r="D398" s="265">
        <f t="shared" si="75"/>
        <v>0</v>
      </c>
      <c r="E398" s="265">
        <f t="shared" si="78"/>
        <v>0</v>
      </c>
      <c r="F398" s="265">
        <f t="shared" si="78"/>
        <v>0</v>
      </c>
      <c r="G398" s="265">
        <f t="shared" si="78"/>
        <v>0</v>
      </c>
      <c r="H398" s="265">
        <f t="shared" si="78"/>
        <v>0</v>
      </c>
      <c r="I398" s="265">
        <f t="shared" si="78"/>
        <v>0</v>
      </c>
      <c r="J398" s="283">
        <f t="shared" si="76"/>
        <v>-100</v>
      </c>
      <c r="K398" s="284" t="s">
        <v>1082</v>
      </c>
      <c r="L398" s="285">
        <v>8</v>
      </c>
      <c r="M398" s="263" t="s">
        <v>502</v>
      </c>
      <c r="N398" s="263" t="s">
        <v>491</v>
      </c>
      <c r="O398" s="263" t="s">
        <v>502</v>
      </c>
      <c r="P398" s="286" t="s">
        <v>1847</v>
      </c>
    </row>
    <row r="399" s="92" customFormat="1" ht="20.1" customHeight="1" spans="1:16">
      <c r="A399" s="157" t="s">
        <v>1848</v>
      </c>
      <c r="B399" s="266" t="s">
        <v>1849</v>
      </c>
      <c r="C399" s="267">
        <v>11</v>
      </c>
      <c r="D399" s="267">
        <f t="shared" si="75"/>
        <v>0</v>
      </c>
      <c r="E399" s="267"/>
      <c r="F399" s="267"/>
      <c r="G399" s="267"/>
      <c r="H399" s="267"/>
      <c r="I399" s="267"/>
      <c r="J399" s="288"/>
      <c r="K399" s="276" t="s">
        <v>1087</v>
      </c>
      <c r="L399" s="33">
        <v>1</v>
      </c>
      <c r="M399" s="157" t="s">
        <v>1848</v>
      </c>
      <c r="N399" s="157"/>
      <c r="O399" s="157" t="s">
        <v>502</v>
      </c>
      <c r="P399" s="289" t="s">
        <v>1850</v>
      </c>
    </row>
    <row r="400" s="92" customFormat="1" ht="20.1" customHeight="1" spans="1:16">
      <c r="A400" s="157" t="s">
        <v>1851</v>
      </c>
      <c r="B400" s="266" t="s">
        <v>1852</v>
      </c>
      <c r="C400" s="267">
        <v>44</v>
      </c>
      <c r="D400" s="268">
        <f t="shared" si="75"/>
        <v>0</v>
      </c>
      <c r="E400" s="267"/>
      <c r="F400" s="267"/>
      <c r="G400" s="267"/>
      <c r="H400" s="267"/>
      <c r="I400" s="287"/>
      <c r="J400" s="288"/>
      <c r="K400" s="276" t="s">
        <v>1087</v>
      </c>
      <c r="L400" s="33">
        <v>1</v>
      </c>
      <c r="M400" s="157" t="s">
        <v>1851</v>
      </c>
      <c r="N400" s="157"/>
      <c r="O400" s="157" t="s">
        <v>502</v>
      </c>
      <c r="P400" s="289" t="s">
        <v>1847</v>
      </c>
    </row>
    <row r="401" s="93" customFormat="1" ht="20.1" customHeight="1" spans="1:16">
      <c r="A401" s="154" t="s">
        <v>503</v>
      </c>
      <c r="B401" s="261" t="s">
        <v>269</v>
      </c>
      <c r="C401" s="262">
        <f t="shared" ref="C401:I401" si="79">C402+C407+C414+C420+C426+C430+C434+C438+C444+C451</f>
        <v>70306</v>
      </c>
      <c r="D401" s="262">
        <f t="shared" si="75"/>
        <v>78779</v>
      </c>
      <c r="E401" s="262">
        <f t="shared" si="79"/>
        <v>3241</v>
      </c>
      <c r="F401" s="262">
        <f t="shared" si="79"/>
        <v>0</v>
      </c>
      <c r="G401" s="262">
        <f t="shared" si="79"/>
        <v>12534</v>
      </c>
      <c r="H401" s="262">
        <f t="shared" si="79"/>
        <v>1960</v>
      </c>
      <c r="I401" s="262">
        <f t="shared" si="79"/>
        <v>61044</v>
      </c>
      <c r="J401" s="279">
        <f t="shared" ref="J401:J451" si="80">ROUND(IF(C401=0,IF(D401=0,0,1),IF(D401=0,-1,D401/C401)),4)*100</f>
        <v>112.05</v>
      </c>
      <c r="K401" s="280" t="s">
        <v>1081</v>
      </c>
      <c r="L401" s="281"/>
      <c r="M401" s="154" t="s">
        <v>503</v>
      </c>
      <c r="N401" s="154" t="s">
        <v>503</v>
      </c>
      <c r="O401" s="154" t="s">
        <v>503</v>
      </c>
      <c r="P401" s="282" t="s">
        <v>1853</v>
      </c>
    </row>
    <row r="402" s="93" customFormat="1" ht="20.1" customHeight="1" spans="1:16">
      <c r="A402" s="263" t="s">
        <v>504</v>
      </c>
      <c r="B402" s="297" t="s">
        <v>270</v>
      </c>
      <c r="C402" s="265">
        <f t="shared" ref="C402:J402" si="81">SUM(C403:C406)</f>
        <v>201</v>
      </c>
      <c r="D402" s="265">
        <f t="shared" si="75"/>
        <v>143</v>
      </c>
      <c r="E402" s="265">
        <f t="shared" si="81"/>
        <v>0</v>
      </c>
      <c r="F402" s="265">
        <f t="shared" si="81"/>
        <v>0</v>
      </c>
      <c r="G402" s="265">
        <f t="shared" si="81"/>
        <v>0</v>
      </c>
      <c r="H402" s="265">
        <f t="shared" si="81"/>
        <v>0</v>
      </c>
      <c r="I402" s="265">
        <f t="shared" si="81"/>
        <v>143</v>
      </c>
      <c r="J402" s="298">
        <f t="shared" si="81"/>
        <v>71.14</v>
      </c>
      <c r="K402" s="284" t="s">
        <v>1082</v>
      </c>
      <c r="L402" s="285"/>
      <c r="M402" s="263" t="s">
        <v>504</v>
      </c>
      <c r="N402" s="263" t="s">
        <v>503</v>
      </c>
      <c r="O402" s="263" t="s">
        <v>504</v>
      </c>
      <c r="P402" s="286" t="s">
        <v>1854</v>
      </c>
    </row>
    <row r="403" s="92" customFormat="1" ht="20.1" customHeight="1" spans="1:16">
      <c r="A403" s="157" t="s">
        <v>1855</v>
      </c>
      <c r="B403" s="266" t="s">
        <v>1086</v>
      </c>
      <c r="C403" s="267">
        <v>201</v>
      </c>
      <c r="D403" s="268">
        <f t="shared" si="75"/>
        <v>143</v>
      </c>
      <c r="E403" s="267"/>
      <c r="F403" s="267"/>
      <c r="G403" s="267"/>
      <c r="H403" s="267"/>
      <c r="I403" s="287">
        <v>143</v>
      </c>
      <c r="J403" s="288">
        <f t="shared" si="80"/>
        <v>71.14</v>
      </c>
      <c r="K403" s="276" t="s">
        <v>1087</v>
      </c>
      <c r="L403" s="33">
        <v>1</v>
      </c>
      <c r="M403" s="157" t="s">
        <v>1855</v>
      </c>
      <c r="N403" s="157"/>
      <c r="O403" s="157" t="s">
        <v>504</v>
      </c>
      <c r="P403" s="164" t="s">
        <v>1088</v>
      </c>
    </row>
    <row r="404" s="92" customFormat="1" ht="20.1" customHeight="1" spans="1:16">
      <c r="A404" s="157" t="s">
        <v>1856</v>
      </c>
      <c r="B404" s="266" t="s">
        <v>1090</v>
      </c>
      <c r="C404" s="267"/>
      <c r="D404" s="268">
        <f t="shared" si="75"/>
        <v>0</v>
      </c>
      <c r="E404" s="267"/>
      <c r="F404" s="267"/>
      <c r="G404" s="267"/>
      <c r="H404" s="267"/>
      <c r="I404" s="287"/>
      <c r="J404" s="288">
        <f t="shared" si="80"/>
        <v>0</v>
      </c>
      <c r="K404" s="276" t="s">
        <v>1087</v>
      </c>
      <c r="L404" s="33">
        <v>1</v>
      </c>
      <c r="M404" s="157" t="s">
        <v>1856</v>
      </c>
      <c r="N404" s="157"/>
      <c r="O404" s="157" t="s">
        <v>504</v>
      </c>
      <c r="P404" s="164" t="s">
        <v>1091</v>
      </c>
    </row>
    <row r="405" s="92" customFormat="1" ht="20.1" customHeight="1" spans="1:16">
      <c r="A405" s="157" t="s">
        <v>1857</v>
      </c>
      <c r="B405" s="266" t="s">
        <v>1093</v>
      </c>
      <c r="C405" s="267"/>
      <c r="D405" s="268">
        <f t="shared" si="75"/>
        <v>0</v>
      </c>
      <c r="E405" s="267"/>
      <c r="F405" s="267"/>
      <c r="G405" s="267"/>
      <c r="H405" s="267"/>
      <c r="I405" s="287"/>
      <c r="J405" s="288">
        <f t="shared" si="80"/>
        <v>0</v>
      </c>
      <c r="K405" s="276" t="s">
        <v>1087</v>
      </c>
      <c r="L405" s="33">
        <v>1</v>
      </c>
      <c r="M405" s="157" t="s">
        <v>1857</v>
      </c>
      <c r="N405" s="157"/>
      <c r="O405" s="157" t="s">
        <v>504</v>
      </c>
      <c r="P405" s="164" t="s">
        <v>1094</v>
      </c>
    </row>
    <row r="406" s="92" customFormat="1" ht="20.1" customHeight="1" spans="1:16">
      <c r="A406" s="157" t="s">
        <v>1858</v>
      </c>
      <c r="B406" s="269" t="s">
        <v>1859</v>
      </c>
      <c r="C406" s="267"/>
      <c r="D406" s="268">
        <f t="shared" si="75"/>
        <v>0</v>
      </c>
      <c r="E406" s="267"/>
      <c r="F406" s="267"/>
      <c r="G406" s="267"/>
      <c r="H406" s="267"/>
      <c r="I406" s="287"/>
      <c r="J406" s="288">
        <f t="shared" si="80"/>
        <v>0</v>
      </c>
      <c r="K406" s="276" t="s">
        <v>1087</v>
      </c>
      <c r="L406" s="33">
        <v>1</v>
      </c>
      <c r="M406" s="157" t="s">
        <v>1858</v>
      </c>
      <c r="N406" s="157"/>
      <c r="O406" s="157" t="s">
        <v>504</v>
      </c>
      <c r="P406" s="163" t="s">
        <v>1860</v>
      </c>
    </row>
    <row r="407" s="93" customFormat="1" ht="20.1" customHeight="1" spans="1:16">
      <c r="A407" s="263" t="s">
        <v>505</v>
      </c>
      <c r="B407" s="297" t="s">
        <v>271</v>
      </c>
      <c r="C407" s="265">
        <f t="shared" ref="C407:I407" si="82">SUM(C408:C413)</f>
        <v>69469</v>
      </c>
      <c r="D407" s="265">
        <f t="shared" si="75"/>
        <v>73806</v>
      </c>
      <c r="E407" s="265">
        <f t="shared" si="82"/>
        <v>3041</v>
      </c>
      <c r="F407" s="265">
        <f t="shared" si="82"/>
        <v>0</v>
      </c>
      <c r="G407" s="265">
        <f t="shared" si="82"/>
        <v>9393</v>
      </c>
      <c r="H407" s="265">
        <f t="shared" si="82"/>
        <v>1960</v>
      </c>
      <c r="I407" s="265">
        <f t="shared" si="82"/>
        <v>59412</v>
      </c>
      <c r="J407" s="298">
        <f t="shared" si="80"/>
        <v>106.24</v>
      </c>
      <c r="K407" s="284" t="s">
        <v>1082</v>
      </c>
      <c r="L407" s="285"/>
      <c r="M407" s="263" t="s">
        <v>505</v>
      </c>
      <c r="N407" s="263" t="s">
        <v>503</v>
      </c>
      <c r="O407" s="263" t="s">
        <v>505</v>
      </c>
      <c r="P407" s="286" t="s">
        <v>1861</v>
      </c>
    </row>
    <row r="408" s="92" customFormat="1" ht="20.1" customHeight="1" spans="1:16">
      <c r="A408" s="157" t="s">
        <v>1862</v>
      </c>
      <c r="B408" s="266" t="s">
        <v>1863</v>
      </c>
      <c r="C408" s="267">
        <v>2422</v>
      </c>
      <c r="D408" s="268">
        <f t="shared" si="75"/>
        <v>4700</v>
      </c>
      <c r="E408" s="267">
        <v>1155</v>
      </c>
      <c r="F408" s="267"/>
      <c r="G408" s="267">
        <f>299+250+609+200</f>
        <v>1358</v>
      </c>
      <c r="H408" s="267"/>
      <c r="I408" s="287">
        <v>2187</v>
      </c>
      <c r="J408" s="288">
        <f t="shared" si="80"/>
        <v>194.05</v>
      </c>
      <c r="K408" s="276" t="s">
        <v>1087</v>
      </c>
      <c r="L408" s="33">
        <v>1</v>
      </c>
      <c r="M408" s="157" t="s">
        <v>1862</v>
      </c>
      <c r="N408" s="157"/>
      <c r="O408" s="157" t="s">
        <v>505</v>
      </c>
      <c r="P408" s="163" t="s">
        <v>1864</v>
      </c>
    </row>
    <row r="409" s="92" customFormat="1" ht="20.1" customHeight="1" spans="1:16">
      <c r="A409" s="157" t="s">
        <v>1865</v>
      </c>
      <c r="B409" s="266" t="s">
        <v>1866</v>
      </c>
      <c r="C409" s="267">
        <v>35240</v>
      </c>
      <c r="D409" s="268">
        <f t="shared" si="75"/>
        <v>38682</v>
      </c>
      <c r="E409" s="267">
        <v>30</v>
      </c>
      <c r="F409" s="267"/>
      <c r="G409" s="267">
        <f>1852+1516+500</f>
        <v>3868</v>
      </c>
      <c r="H409" s="267">
        <v>1960</v>
      </c>
      <c r="I409" s="287">
        <v>32824</v>
      </c>
      <c r="J409" s="288">
        <f t="shared" si="80"/>
        <v>109.77</v>
      </c>
      <c r="K409" s="276" t="s">
        <v>1087</v>
      </c>
      <c r="L409" s="33">
        <v>1</v>
      </c>
      <c r="M409" s="157" t="s">
        <v>1865</v>
      </c>
      <c r="N409" s="157"/>
      <c r="O409" s="157" t="s">
        <v>505</v>
      </c>
      <c r="P409" s="163" t="s">
        <v>1867</v>
      </c>
    </row>
    <row r="410" s="92" customFormat="1" ht="20.1" customHeight="1" spans="1:16">
      <c r="A410" s="157" t="s">
        <v>1868</v>
      </c>
      <c r="B410" s="269" t="s">
        <v>1869</v>
      </c>
      <c r="C410" s="267">
        <v>20578</v>
      </c>
      <c r="D410" s="268">
        <f t="shared" si="75"/>
        <v>18300</v>
      </c>
      <c r="E410" s="267"/>
      <c r="F410" s="267"/>
      <c r="G410" s="267">
        <f>1449+1329+300</f>
        <v>3078</v>
      </c>
      <c r="H410" s="267"/>
      <c r="I410" s="287">
        <v>15222</v>
      </c>
      <c r="J410" s="288">
        <f t="shared" si="80"/>
        <v>88.93</v>
      </c>
      <c r="K410" s="276" t="s">
        <v>1087</v>
      </c>
      <c r="L410" s="33">
        <v>1</v>
      </c>
      <c r="M410" s="157" t="s">
        <v>1868</v>
      </c>
      <c r="N410" s="157"/>
      <c r="O410" s="157" t="s">
        <v>505</v>
      </c>
      <c r="P410" s="163" t="s">
        <v>1870</v>
      </c>
    </row>
    <row r="411" s="92" customFormat="1" ht="20.1" customHeight="1" spans="1:16">
      <c r="A411" s="157" t="s">
        <v>1871</v>
      </c>
      <c r="B411" s="269" t="s">
        <v>1872</v>
      </c>
      <c r="C411" s="267">
        <v>9396</v>
      </c>
      <c r="D411" s="268">
        <f t="shared" si="75"/>
        <v>10348</v>
      </c>
      <c r="E411" s="267">
        <v>1856</v>
      </c>
      <c r="F411" s="267"/>
      <c r="G411" s="267">
        <f>472+452</f>
        <v>924</v>
      </c>
      <c r="H411" s="267"/>
      <c r="I411" s="287">
        <v>7568</v>
      </c>
      <c r="J411" s="288">
        <f t="shared" si="80"/>
        <v>110.13</v>
      </c>
      <c r="K411" s="276" t="s">
        <v>1087</v>
      </c>
      <c r="L411" s="33">
        <v>1</v>
      </c>
      <c r="M411" s="157" t="s">
        <v>1871</v>
      </c>
      <c r="N411" s="157"/>
      <c r="O411" s="157" t="s">
        <v>505</v>
      </c>
      <c r="P411" s="163" t="s">
        <v>1873</v>
      </c>
    </row>
    <row r="412" s="92" customFormat="1" ht="20.1" customHeight="1" spans="1:16">
      <c r="A412" s="157" t="s">
        <v>1874</v>
      </c>
      <c r="B412" s="269" t="s">
        <v>1875</v>
      </c>
      <c r="C412" s="267"/>
      <c r="D412" s="268">
        <f t="shared" si="75"/>
        <v>165</v>
      </c>
      <c r="E412" s="267"/>
      <c r="F412" s="267"/>
      <c r="G412" s="267">
        <f>110+55</f>
        <v>165</v>
      </c>
      <c r="H412" s="267"/>
      <c r="I412" s="287"/>
      <c r="J412" s="288">
        <f t="shared" si="80"/>
        <v>100</v>
      </c>
      <c r="K412" s="276" t="s">
        <v>1087</v>
      </c>
      <c r="L412" s="33">
        <v>1</v>
      </c>
      <c r="M412" s="157" t="s">
        <v>1874</v>
      </c>
      <c r="N412" s="157"/>
      <c r="O412" s="157" t="s">
        <v>505</v>
      </c>
      <c r="P412" s="163" t="s">
        <v>1876</v>
      </c>
    </row>
    <row r="413" s="92" customFormat="1" ht="20.1" customHeight="1" spans="1:16">
      <c r="A413" s="157" t="s">
        <v>1877</v>
      </c>
      <c r="B413" s="266" t="s">
        <v>1878</v>
      </c>
      <c r="C413" s="267">
        <v>1833</v>
      </c>
      <c r="D413" s="268">
        <f t="shared" si="75"/>
        <v>1611</v>
      </c>
      <c r="E413" s="267"/>
      <c r="F413" s="267"/>
      <c r="G413" s="267"/>
      <c r="H413" s="267"/>
      <c r="I413" s="287">
        <v>1611</v>
      </c>
      <c r="J413" s="288">
        <f t="shared" si="80"/>
        <v>87.89</v>
      </c>
      <c r="K413" s="276" t="s">
        <v>1087</v>
      </c>
      <c r="L413" s="33">
        <v>1</v>
      </c>
      <c r="M413" s="157" t="s">
        <v>1877</v>
      </c>
      <c r="N413" s="157"/>
      <c r="O413" s="157" t="s">
        <v>505</v>
      </c>
      <c r="P413" s="163" t="s">
        <v>1879</v>
      </c>
    </row>
    <row r="414" s="93" customFormat="1" ht="20.1" customHeight="1" spans="1:16">
      <c r="A414" s="263" t="s">
        <v>506</v>
      </c>
      <c r="B414" s="297" t="s">
        <v>272</v>
      </c>
      <c r="C414" s="265">
        <f t="shared" ref="C414:I414" si="83">SUM(C415:C419)</f>
        <v>11</v>
      </c>
      <c r="D414" s="265">
        <f t="shared" si="75"/>
        <v>200</v>
      </c>
      <c r="E414" s="265">
        <f t="shared" si="83"/>
        <v>200</v>
      </c>
      <c r="F414" s="265">
        <f t="shared" si="83"/>
        <v>0</v>
      </c>
      <c r="G414" s="265">
        <f t="shared" si="83"/>
        <v>0</v>
      </c>
      <c r="H414" s="265">
        <f t="shared" si="83"/>
        <v>0</v>
      </c>
      <c r="I414" s="265">
        <f t="shared" si="83"/>
        <v>0</v>
      </c>
      <c r="J414" s="298">
        <f t="shared" si="80"/>
        <v>1818.18</v>
      </c>
      <c r="K414" s="284" t="s">
        <v>1082</v>
      </c>
      <c r="L414" s="285"/>
      <c r="M414" s="263" t="s">
        <v>506</v>
      </c>
      <c r="N414" s="263" t="s">
        <v>503</v>
      </c>
      <c r="O414" s="263" t="s">
        <v>506</v>
      </c>
      <c r="P414" s="286" t="s">
        <v>1880</v>
      </c>
    </row>
    <row r="415" s="92" customFormat="1" ht="20.1" customHeight="1" spans="1:16">
      <c r="A415" s="157" t="s">
        <v>1881</v>
      </c>
      <c r="B415" s="266" t="s">
        <v>1882</v>
      </c>
      <c r="C415" s="267"/>
      <c r="D415" s="268">
        <f t="shared" si="75"/>
        <v>0</v>
      </c>
      <c r="E415" s="267"/>
      <c r="F415" s="267"/>
      <c r="G415" s="267"/>
      <c r="H415" s="267"/>
      <c r="I415" s="287"/>
      <c r="J415" s="288">
        <f t="shared" si="80"/>
        <v>0</v>
      </c>
      <c r="K415" s="276" t="s">
        <v>1087</v>
      </c>
      <c r="L415" s="33">
        <v>1</v>
      </c>
      <c r="M415" s="157" t="s">
        <v>1881</v>
      </c>
      <c r="N415" s="157"/>
      <c r="O415" s="157" t="s">
        <v>506</v>
      </c>
      <c r="P415" s="163" t="s">
        <v>1883</v>
      </c>
    </row>
    <row r="416" s="92" customFormat="1" ht="20.1" customHeight="1" spans="1:16">
      <c r="A416" s="157" t="s">
        <v>1884</v>
      </c>
      <c r="B416" s="266" t="s">
        <v>1885</v>
      </c>
      <c r="C416" s="267"/>
      <c r="D416" s="268">
        <f t="shared" si="75"/>
        <v>0</v>
      </c>
      <c r="E416" s="267"/>
      <c r="F416" s="267"/>
      <c r="G416" s="267"/>
      <c r="H416" s="267"/>
      <c r="I416" s="287"/>
      <c r="J416" s="288">
        <f t="shared" si="80"/>
        <v>0</v>
      </c>
      <c r="K416" s="276" t="s">
        <v>1087</v>
      </c>
      <c r="L416" s="33">
        <v>1</v>
      </c>
      <c r="M416" s="157" t="s">
        <v>1884</v>
      </c>
      <c r="N416" s="157"/>
      <c r="O416" s="157" t="s">
        <v>506</v>
      </c>
      <c r="P416" s="163" t="s">
        <v>1886</v>
      </c>
    </row>
    <row r="417" s="92" customFormat="1" ht="20.1" customHeight="1" spans="1:16">
      <c r="A417" s="157" t="s">
        <v>1887</v>
      </c>
      <c r="B417" s="266" t="s">
        <v>1888</v>
      </c>
      <c r="C417" s="267"/>
      <c r="D417" s="268">
        <f t="shared" si="75"/>
        <v>0</v>
      </c>
      <c r="E417" s="267"/>
      <c r="F417" s="267"/>
      <c r="G417" s="267"/>
      <c r="H417" s="267"/>
      <c r="I417" s="287"/>
      <c r="J417" s="288">
        <f t="shared" si="80"/>
        <v>0</v>
      </c>
      <c r="K417" s="276" t="s">
        <v>1087</v>
      </c>
      <c r="L417" s="33">
        <v>1</v>
      </c>
      <c r="M417" s="157" t="s">
        <v>1887</v>
      </c>
      <c r="N417" s="157"/>
      <c r="O417" s="157" t="s">
        <v>506</v>
      </c>
      <c r="P417" s="163" t="s">
        <v>1889</v>
      </c>
    </row>
    <row r="418" s="92" customFormat="1" ht="20.1" customHeight="1" spans="1:16">
      <c r="A418" s="157" t="s">
        <v>1890</v>
      </c>
      <c r="B418" s="269" t="s">
        <v>1891</v>
      </c>
      <c r="C418" s="267"/>
      <c r="D418" s="268">
        <f t="shared" si="75"/>
        <v>0</v>
      </c>
      <c r="E418" s="267"/>
      <c r="F418" s="267"/>
      <c r="G418" s="267"/>
      <c r="H418" s="267"/>
      <c r="I418" s="287"/>
      <c r="J418" s="288">
        <f t="shared" si="80"/>
        <v>0</v>
      </c>
      <c r="K418" s="276" t="s">
        <v>1087</v>
      </c>
      <c r="L418" s="33">
        <v>1</v>
      </c>
      <c r="M418" s="157" t="s">
        <v>1890</v>
      </c>
      <c r="N418" s="157"/>
      <c r="O418" s="157" t="s">
        <v>506</v>
      </c>
      <c r="P418" s="163" t="s">
        <v>1892</v>
      </c>
    </row>
    <row r="419" s="92" customFormat="1" ht="20.1" customHeight="1" spans="1:16">
      <c r="A419" s="157" t="s">
        <v>1893</v>
      </c>
      <c r="B419" s="269" t="s">
        <v>1894</v>
      </c>
      <c r="C419" s="267">
        <v>11</v>
      </c>
      <c r="D419" s="268">
        <f t="shared" si="75"/>
        <v>200</v>
      </c>
      <c r="E419" s="267">
        <v>200</v>
      </c>
      <c r="F419" s="267"/>
      <c r="G419" s="267"/>
      <c r="H419" s="267"/>
      <c r="I419" s="287"/>
      <c r="J419" s="288">
        <f t="shared" si="80"/>
        <v>1818.18</v>
      </c>
      <c r="K419" s="276" t="s">
        <v>1087</v>
      </c>
      <c r="L419" s="33">
        <v>1</v>
      </c>
      <c r="M419" s="157" t="s">
        <v>1893</v>
      </c>
      <c r="N419" s="157"/>
      <c r="O419" s="157" t="s">
        <v>506</v>
      </c>
      <c r="P419" s="163" t="s">
        <v>1895</v>
      </c>
    </row>
    <row r="420" s="93" customFormat="1" ht="20.1" customHeight="1" spans="1:16">
      <c r="A420" s="263" t="s">
        <v>507</v>
      </c>
      <c r="B420" s="297" t="s">
        <v>273</v>
      </c>
      <c r="C420" s="265">
        <v>0</v>
      </c>
      <c r="D420" s="265">
        <f t="shared" si="75"/>
        <v>0</v>
      </c>
      <c r="E420" s="265">
        <f t="shared" ref="E420:H420" si="84">SUM(E421:E425)</f>
        <v>0</v>
      </c>
      <c r="F420" s="265">
        <f t="shared" si="84"/>
        <v>0</v>
      </c>
      <c r="G420" s="265">
        <f>VLOOKUP(A420,[1]√表四、2024年公共财政支出变动表!$A$7:$R$214,18,FALSE)</f>
        <v>0</v>
      </c>
      <c r="H420" s="265">
        <f t="shared" si="84"/>
        <v>0</v>
      </c>
      <c r="I420" s="265"/>
      <c r="J420" s="298">
        <f t="shared" si="80"/>
        <v>0</v>
      </c>
      <c r="K420" s="284" t="s">
        <v>1082</v>
      </c>
      <c r="L420" s="285"/>
      <c r="M420" s="263" t="s">
        <v>507</v>
      </c>
      <c r="N420" s="263" t="s">
        <v>503</v>
      </c>
      <c r="O420" s="263" t="s">
        <v>507</v>
      </c>
      <c r="P420" s="286" t="s">
        <v>1896</v>
      </c>
    </row>
    <row r="421" s="92" customFormat="1" ht="20.1" customHeight="1" spans="1:16">
      <c r="A421" s="157" t="s">
        <v>1897</v>
      </c>
      <c r="B421" s="266" t="s">
        <v>1898</v>
      </c>
      <c r="C421" s="267">
        <v>0</v>
      </c>
      <c r="D421" s="268">
        <f t="shared" si="75"/>
        <v>0</v>
      </c>
      <c r="E421" s="267"/>
      <c r="F421" s="267"/>
      <c r="G421" s="267"/>
      <c r="H421" s="267"/>
      <c r="I421" s="287"/>
      <c r="J421" s="288">
        <f t="shared" si="80"/>
        <v>0</v>
      </c>
      <c r="K421" s="276" t="s">
        <v>1087</v>
      </c>
      <c r="L421" s="33">
        <v>1</v>
      </c>
      <c r="M421" s="157" t="s">
        <v>1897</v>
      </c>
      <c r="N421" s="157"/>
      <c r="O421" s="157" t="s">
        <v>507</v>
      </c>
      <c r="P421" s="163" t="s">
        <v>1899</v>
      </c>
    </row>
    <row r="422" s="92" customFormat="1" ht="20.1" customHeight="1" spans="1:16">
      <c r="A422" s="157" t="s">
        <v>1900</v>
      </c>
      <c r="B422" s="266" t="s">
        <v>1901</v>
      </c>
      <c r="C422" s="267">
        <v>0</v>
      </c>
      <c r="D422" s="268">
        <f t="shared" si="75"/>
        <v>0</v>
      </c>
      <c r="E422" s="267"/>
      <c r="F422" s="267"/>
      <c r="G422" s="267"/>
      <c r="H422" s="267"/>
      <c r="I422" s="287"/>
      <c r="J422" s="288">
        <f t="shared" si="80"/>
        <v>0</v>
      </c>
      <c r="K422" s="276" t="s">
        <v>1087</v>
      </c>
      <c r="L422" s="33">
        <v>1</v>
      </c>
      <c r="M422" s="157" t="s">
        <v>1900</v>
      </c>
      <c r="N422" s="157"/>
      <c r="O422" s="157" t="s">
        <v>507</v>
      </c>
      <c r="P422" s="163" t="s">
        <v>1902</v>
      </c>
    </row>
    <row r="423" s="92" customFormat="1" ht="20.1" customHeight="1" spans="1:16">
      <c r="A423" s="157" t="s">
        <v>1903</v>
      </c>
      <c r="B423" s="266" t="s">
        <v>1904</v>
      </c>
      <c r="C423" s="267">
        <v>0</v>
      </c>
      <c r="D423" s="268">
        <f t="shared" si="75"/>
        <v>0</v>
      </c>
      <c r="E423" s="267"/>
      <c r="F423" s="267"/>
      <c r="G423" s="267"/>
      <c r="H423" s="267"/>
      <c r="I423" s="287"/>
      <c r="J423" s="288">
        <f t="shared" si="80"/>
        <v>0</v>
      </c>
      <c r="K423" s="276" t="s">
        <v>1087</v>
      </c>
      <c r="L423" s="33">
        <v>1</v>
      </c>
      <c r="M423" s="157" t="s">
        <v>1903</v>
      </c>
      <c r="N423" s="157"/>
      <c r="O423" s="157" t="s">
        <v>507</v>
      </c>
      <c r="P423" s="163" t="s">
        <v>1905</v>
      </c>
    </row>
    <row r="424" s="92" customFormat="1" ht="20.1" customHeight="1" spans="1:16">
      <c r="A424" s="157" t="s">
        <v>1906</v>
      </c>
      <c r="B424" s="269" t="s">
        <v>1907</v>
      </c>
      <c r="C424" s="267">
        <v>0</v>
      </c>
      <c r="D424" s="268">
        <f t="shared" si="75"/>
        <v>0</v>
      </c>
      <c r="E424" s="267"/>
      <c r="F424" s="267"/>
      <c r="G424" s="267"/>
      <c r="H424" s="267"/>
      <c r="I424" s="287"/>
      <c r="J424" s="288">
        <f t="shared" si="80"/>
        <v>0</v>
      </c>
      <c r="K424" s="276" t="s">
        <v>1087</v>
      </c>
      <c r="L424" s="33">
        <v>1</v>
      </c>
      <c r="M424" s="157" t="s">
        <v>1906</v>
      </c>
      <c r="N424" s="157"/>
      <c r="O424" s="157" t="s">
        <v>507</v>
      </c>
      <c r="P424" s="163" t="s">
        <v>1908</v>
      </c>
    </row>
    <row r="425" s="92" customFormat="1" ht="20.1" customHeight="1" spans="1:16">
      <c r="A425" s="157" t="s">
        <v>1909</v>
      </c>
      <c r="B425" s="269" t="s">
        <v>1910</v>
      </c>
      <c r="C425" s="267">
        <v>0</v>
      </c>
      <c r="D425" s="268">
        <f t="shared" si="75"/>
        <v>0</v>
      </c>
      <c r="E425" s="267"/>
      <c r="F425" s="267"/>
      <c r="G425" s="267"/>
      <c r="H425" s="267"/>
      <c r="I425" s="287"/>
      <c r="J425" s="288">
        <f t="shared" si="80"/>
        <v>0</v>
      </c>
      <c r="K425" s="276" t="s">
        <v>1087</v>
      </c>
      <c r="L425" s="33">
        <v>1</v>
      </c>
      <c r="M425" s="157" t="s">
        <v>1909</v>
      </c>
      <c r="N425" s="157"/>
      <c r="O425" s="157" t="s">
        <v>507</v>
      </c>
      <c r="P425" s="163" t="s">
        <v>1911</v>
      </c>
    </row>
    <row r="426" s="93" customFormat="1" ht="20.1" customHeight="1" spans="1:16">
      <c r="A426" s="263" t="s">
        <v>508</v>
      </c>
      <c r="B426" s="297" t="s">
        <v>274</v>
      </c>
      <c r="C426" s="265"/>
      <c r="D426" s="265">
        <f t="shared" si="75"/>
        <v>0</v>
      </c>
      <c r="E426" s="265">
        <f t="shared" ref="E426:H426" si="85">SUM(E427:E429)</f>
        <v>0</v>
      </c>
      <c r="F426" s="265">
        <f t="shared" si="85"/>
        <v>0</v>
      </c>
      <c r="G426" s="265">
        <f>VLOOKUP(A426,[1]√表四、2024年公共财政支出变动表!$A$7:$R$214,18,FALSE)</f>
        <v>0</v>
      </c>
      <c r="H426" s="265">
        <f t="shared" si="85"/>
        <v>0</v>
      </c>
      <c r="I426" s="265"/>
      <c r="J426" s="298">
        <f t="shared" si="80"/>
        <v>0</v>
      </c>
      <c r="K426" s="284" t="s">
        <v>1082</v>
      </c>
      <c r="L426" s="285"/>
      <c r="M426" s="263" t="s">
        <v>508</v>
      </c>
      <c r="N426" s="263" t="s">
        <v>503</v>
      </c>
      <c r="O426" s="263" t="s">
        <v>508</v>
      </c>
      <c r="P426" s="286" t="s">
        <v>1912</v>
      </c>
    </row>
    <row r="427" s="92" customFormat="1" ht="20.1" customHeight="1" spans="1:16">
      <c r="A427" s="157" t="s">
        <v>1913</v>
      </c>
      <c r="B427" s="266" t="s">
        <v>1914</v>
      </c>
      <c r="C427" s="267">
        <v>0</v>
      </c>
      <c r="D427" s="268">
        <f t="shared" si="75"/>
        <v>0</v>
      </c>
      <c r="E427" s="267"/>
      <c r="F427" s="267"/>
      <c r="G427" s="267"/>
      <c r="H427" s="267"/>
      <c r="I427" s="287"/>
      <c r="J427" s="288">
        <f t="shared" si="80"/>
        <v>0</v>
      </c>
      <c r="K427" s="276" t="s">
        <v>1087</v>
      </c>
      <c r="L427" s="33">
        <v>1</v>
      </c>
      <c r="M427" s="157" t="s">
        <v>1913</v>
      </c>
      <c r="N427" s="157"/>
      <c r="O427" s="157" t="s">
        <v>508</v>
      </c>
      <c r="P427" s="163" t="s">
        <v>1915</v>
      </c>
    </row>
    <row r="428" s="92" customFormat="1" ht="20.1" customHeight="1" spans="1:16">
      <c r="A428" s="157" t="s">
        <v>1916</v>
      </c>
      <c r="B428" s="266" t="s">
        <v>1917</v>
      </c>
      <c r="C428" s="267"/>
      <c r="D428" s="268">
        <f t="shared" si="75"/>
        <v>0</v>
      </c>
      <c r="E428" s="267"/>
      <c r="F428" s="267"/>
      <c r="G428" s="267"/>
      <c r="H428" s="267"/>
      <c r="I428" s="287"/>
      <c r="J428" s="288">
        <f t="shared" si="80"/>
        <v>0</v>
      </c>
      <c r="K428" s="276" t="s">
        <v>1087</v>
      </c>
      <c r="L428" s="33">
        <v>1</v>
      </c>
      <c r="M428" s="157" t="s">
        <v>1916</v>
      </c>
      <c r="N428" s="157"/>
      <c r="O428" s="157" t="s">
        <v>508</v>
      </c>
      <c r="P428" s="163" t="s">
        <v>1918</v>
      </c>
    </row>
    <row r="429" s="92" customFormat="1" ht="20.1" customHeight="1" spans="1:16">
      <c r="A429" s="157" t="s">
        <v>1919</v>
      </c>
      <c r="B429" s="266" t="s">
        <v>1920</v>
      </c>
      <c r="C429" s="267">
        <v>0</v>
      </c>
      <c r="D429" s="268">
        <f t="shared" si="75"/>
        <v>0</v>
      </c>
      <c r="E429" s="267"/>
      <c r="F429" s="267"/>
      <c r="G429" s="267"/>
      <c r="H429" s="267"/>
      <c r="I429" s="287"/>
      <c r="J429" s="288">
        <f t="shared" si="80"/>
        <v>0</v>
      </c>
      <c r="K429" s="276" t="s">
        <v>1087</v>
      </c>
      <c r="L429" s="33">
        <v>1</v>
      </c>
      <c r="M429" s="157" t="s">
        <v>1919</v>
      </c>
      <c r="N429" s="157"/>
      <c r="O429" s="157" t="s">
        <v>508</v>
      </c>
      <c r="P429" s="163" t="s">
        <v>1921</v>
      </c>
    </row>
    <row r="430" s="93" customFormat="1" ht="20.1" customHeight="1" spans="1:16">
      <c r="A430" s="263" t="s">
        <v>509</v>
      </c>
      <c r="B430" s="297" t="s">
        <v>275</v>
      </c>
      <c r="C430" s="265">
        <v>0</v>
      </c>
      <c r="D430" s="265">
        <f t="shared" si="75"/>
        <v>0</v>
      </c>
      <c r="E430" s="265">
        <f t="shared" ref="E430:H430" si="86">SUM(E431:E433)</f>
        <v>0</v>
      </c>
      <c r="F430" s="265">
        <f t="shared" si="86"/>
        <v>0</v>
      </c>
      <c r="G430" s="265">
        <f>VLOOKUP(A430,[1]√表四、2024年公共财政支出变动表!$A$7:$R$214,18,FALSE)</f>
        <v>0</v>
      </c>
      <c r="H430" s="265">
        <f t="shared" si="86"/>
        <v>0</v>
      </c>
      <c r="I430" s="265"/>
      <c r="J430" s="298">
        <f t="shared" si="80"/>
        <v>0</v>
      </c>
      <c r="K430" s="284" t="s">
        <v>1082</v>
      </c>
      <c r="L430" s="285"/>
      <c r="M430" s="263" t="s">
        <v>509</v>
      </c>
      <c r="N430" s="263" t="s">
        <v>503</v>
      </c>
      <c r="O430" s="263" t="s">
        <v>509</v>
      </c>
      <c r="P430" s="286" t="s">
        <v>1922</v>
      </c>
    </row>
    <row r="431" s="92" customFormat="1" ht="20.1" customHeight="1" spans="1:16">
      <c r="A431" s="157" t="s">
        <v>1923</v>
      </c>
      <c r="B431" s="269" t="s">
        <v>1924</v>
      </c>
      <c r="C431" s="267">
        <v>0</v>
      </c>
      <c r="D431" s="268">
        <f t="shared" si="75"/>
        <v>0</v>
      </c>
      <c r="E431" s="267"/>
      <c r="F431" s="267"/>
      <c r="G431" s="267"/>
      <c r="H431" s="267"/>
      <c r="I431" s="287"/>
      <c r="J431" s="288">
        <f t="shared" si="80"/>
        <v>0</v>
      </c>
      <c r="K431" s="276" t="s">
        <v>1087</v>
      </c>
      <c r="L431" s="33">
        <v>1</v>
      </c>
      <c r="M431" s="157" t="s">
        <v>1923</v>
      </c>
      <c r="N431" s="157"/>
      <c r="O431" s="157" t="s">
        <v>509</v>
      </c>
      <c r="P431" s="163" t="s">
        <v>1925</v>
      </c>
    </row>
    <row r="432" s="92" customFormat="1" ht="20.1" customHeight="1" spans="1:16">
      <c r="A432" s="157" t="s">
        <v>1926</v>
      </c>
      <c r="B432" s="269" t="s">
        <v>1927</v>
      </c>
      <c r="C432" s="267">
        <v>0</v>
      </c>
      <c r="D432" s="268">
        <f t="shared" si="75"/>
        <v>0</v>
      </c>
      <c r="E432" s="267"/>
      <c r="F432" s="267"/>
      <c r="G432" s="267"/>
      <c r="H432" s="267"/>
      <c r="I432" s="287"/>
      <c r="J432" s="288">
        <f t="shared" si="80"/>
        <v>0</v>
      </c>
      <c r="K432" s="276" t="s">
        <v>1087</v>
      </c>
      <c r="L432" s="33">
        <v>1</v>
      </c>
      <c r="M432" s="157" t="s">
        <v>1926</v>
      </c>
      <c r="N432" s="157"/>
      <c r="O432" s="157" t="s">
        <v>509</v>
      </c>
      <c r="P432" s="163" t="s">
        <v>1928</v>
      </c>
    </row>
    <row r="433" s="92" customFormat="1" ht="20.1" customHeight="1" spans="1:16">
      <c r="A433" s="157" t="s">
        <v>1929</v>
      </c>
      <c r="B433" s="36" t="s">
        <v>1930</v>
      </c>
      <c r="C433" s="267">
        <v>0</v>
      </c>
      <c r="D433" s="268">
        <f t="shared" si="75"/>
        <v>0</v>
      </c>
      <c r="E433" s="267"/>
      <c r="F433" s="267"/>
      <c r="G433" s="267"/>
      <c r="H433" s="267"/>
      <c r="I433" s="287"/>
      <c r="J433" s="288">
        <f t="shared" si="80"/>
        <v>0</v>
      </c>
      <c r="K433" s="276" t="s">
        <v>1087</v>
      </c>
      <c r="L433" s="33">
        <v>1</v>
      </c>
      <c r="M433" s="157" t="s">
        <v>1929</v>
      </c>
      <c r="N433" s="157"/>
      <c r="O433" s="157" t="s">
        <v>509</v>
      </c>
      <c r="P433" s="163" t="s">
        <v>1931</v>
      </c>
    </row>
    <row r="434" s="93" customFormat="1" ht="20.1" customHeight="1" spans="1:16">
      <c r="A434" s="263" t="s">
        <v>510</v>
      </c>
      <c r="B434" s="297" t="s">
        <v>276</v>
      </c>
      <c r="C434" s="265">
        <f t="shared" ref="C434:I434" si="87">SUM(C435:C437)</f>
        <v>314</v>
      </c>
      <c r="D434" s="265">
        <f t="shared" si="75"/>
        <v>301</v>
      </c>
      <c r="E434" s="265">
        <f t="shared" si="87"/>
        <v>0</v>
      </c>
      <c r="F434" s="265">
        <f t="shared" si="87"/>
        <v>0</v>
      </c>
      <c r="G434" s="265">
        <f t="shared" si="87"/>
        <v>18</v>
      </c>
      <c r="H434" s="265">
        <f t="shared" si="87"/>
        <v>0</v>
      </c>
      <c r="I434" s="265">
        <f t="shared" si="87"/>
        <v>283</v>
      </c>
      <c r="J434" s="298">
        <f t="shared" si="80"/>
        <v>95.86</v>
      </c>
      <c r="K434" s="284" t="s">
        <v>1082</v>
      </c>
      <c r="L434" s="285"/>
      <c r="M434" s="263" t="s">
        <v>510</v>
      </c>
      <c r="N434" s="263" t="s">
        <v>503</v>
      </c>
      <c r="O434" s="263" t="s">
        <v>510</v>
      </c>
      <c r="P434" s="286" t="s">
        <v>1932</v>
      </c>
    </row>
    <row r="435" s="92" customFormat="1" ht="20.1" customHeight="1" spans="1:16">
      <c r="A435" s="157" t="s">
        <v>1933</v>
      </c>
      <c r="B435" s="266" t="s">
        <v>1934</v>
      </c>
      <c r="C435" s="267">
        <v>314</v>
      </c>
      <c r="D435" s="268">
        <f t="shared" si="75"/>
        <v>301</v>
      </c>
      <c r="E435" s="267"/>
      <c r="F435" s="267"/>
      <c r="G435" s="267">
        <v>18</v>
      </c>
      <c r="H435" s="267"/>
      <c r="I435" s="287">
        <v>283</v>
      </c>
      <c r="J435" s="288">
        <f t="shared" si="80"/>
        <v>95.86</v>
      </c>
      <c r="K435" s="276" t="s">
        <v>1087</v>
      </c>
      <c r="L435" s="33">
        <v>1</v>
      </c>
      <c r="M435" s="157" t="s">
        <v>1933</v>
      </c>
      <c r="N435" s="157"/>
      <c r="O435" s="157" t="s">
        <v>510</v>
      </c>
      <c r="P435" s="163" t="s">
        <v>1935</v>
      </c>
    </row>
    <row r="436" s="92" customFormat="1" ht="20.1" customHeight="1" spans="1:16">
      <c r="A436" s="157" t="s">
        <v>1936</v>
      </c>
      <c r="B436" s="266" t="s">
        <v>1937</v>
      </c>
      <c r="C436" s="267"/>
      <c r="D436" s="268">
        <f t="shared" si="75"/>
        <v>0</v>
      </c>
      <c r="E436" s="267"/>
      <c r="F436" s="267"/>
      <c r="G436" s="267"/>
      <c r="H436" s="267"/>
      <c r="I436" s="287"/>
      <c r="J436" s="288">
        <f t="shared" si="80"/>
        <v>0</v>
      </c>
      <c r="K436" s="276" t="s">
        <v>1087</v>
      </c>
      <c r="L436" s="33">
        <v>1</v>
      </c>
      <c r="M436" s="157" t="s">
        <v>1936</v>
      </c>
      <c r="N436" s="157"/>
      <c r="O436" s="157" t="s">
        <v>510</v>
      </c>
      <c r="P436" s="163" t="s">
        <v>1938</v>
      </c>
    </row>
    <row r="437" s="92" customFormat="1" ht="20.1" customHeight="1" spans="1:16">
      <c r="A437" s="157" t="s">
        <v>1939</v>
      </c>
      <c r="B437" s="269" t="s">
        <v>1940</v>
      </c>
      <c r="C437" s="267"/>
      <c r="D437" s="268">
        <f t="shared" si="75"/>
        <v>0</v>
      </c>
      <c r="E437" s="267"/>
      <c r="F437" s="267"/>
      <c r="G437" s="267"/>
      <c r="H437" s="267"/>
      <c r="I437" s="287"/>
      <c r="J437" s="288">
        <f t="shared" si="80"/>
        <v>0</v>
      </c>
      <c r="K437" s="276" t="s">
        <v>1087</v>
      </c>
      <c r="L437" s="33">
        <v>1</v>
      </c>
      <c r="M437" s="157" t="s">
        <v>1939</v>
      </c>
      <c r="N437" s="157"/>
      <c r="O437" s="157" t="s">
        <v>510</v>
      </c>
      <c r="P437" s="163" t="s">
        <v>1941</v>
      </c>
    </row>
    <row r="438" s="93" customFormat="1" ht="20.1" customHeight="1" spans="1:16">
      <c r="A438" s="263" t="s">
        <v>511</v>
      </c>
      <c r="B438" s="297" t="s">
        <v>277</v>
      </c>
      <c r="C438" s="265">
        <f t="shared" ref="C438:I438" si="88">SUM(C439:C443)</f>
        <v>271</v>
      </c>
      <c r="D438" s="265">
        <f t="shared" si="75"/>
        <v>266</v>
      </c>
      <c r="E438" s="265">
        <f t="shared" si="88"/>
        <v>0</v>
      </c>
      <c r="F438" s="265">
        <f t="shared" si="88"/>
        <v>0</v>
      </c>
      <c r="G438" s="265">
        <f t="shared" si="88"/>
        <v>0</v>
      </c>
      <c r="H438" s="265">
        <f t="shared" si="88"/>
        <v>0</v>
      </c>
      <c r="I438" s="265">
        <f t="shared" si="88"/>
        <v>266</v>
      </c>
      <c r="J438" s="298">
        <f t="shared" si="80"/>
        <v>98.15</v>
      </c>
      <c r="K438" s="284" t="s">
        <v>1082</v>
      </c>
      <c r="L438" s="285"/>
      <c r="M438" s="263" t="s">
        <v>511</v>
      </c>
      <c r="N438" s="263" t="s">
        <v>503</v>
      </c>
      <c r="O438" s="263" t="s">
        <v>511</v>
      </c>
      <c r="P438" s="286" t="s">
        <v>1942</v>
      </c>
    </row>
    <row r="439" s="92" customFormat="1" ht="20.1" customHeight="1" spans="1:16">
      <c r="A439" s="157" t="s">
        <v>1943</v>
      </c>
      <c r="B439" s="269" t="s">
        <v>1944</v>
      </c>
      <c r="C439" s="267"/>
      <c r="D439" s="268">
        <f t="shared" si="75"/>
        <v>0</v>
      </c>
      <c r="E439" s="267"/>
      <c r="F439" s="267"/>
      <c r="G439" s="267"/>
      <c r="H439" s="267"/>
      <c r="I439" s="287"/>
      <c r="J439" s="288">
        <f t="shared" si="80"/>
        <v>0</v>
      </c>
      <c r="K439" s="276" t="s">
        <v>1087</v>
      </c>
      <c r="L439" s="33">
        <v>1</v>
      </c>
      <c r="M439" s="157" t="s">
        <v>1943</v>
      </c>
      <c r="N439" s="157"/>
      <c r="O439" s="157" t="s">
        <v>511</v>
      </c>
      <c r="P439" s="163" t="s">
        <v>1945</v>
      </c>
    </row>
    <row r="440" s="92" customFormat="1" ht="20.1" customHeight="1" spans="1:16">
      <c r="A440" s="157" t="s">
        <v>1946</v>
      </c>
      <c r="B440" s="266" t="s">
        <v>1947</v>
      </c>
      <c r="C440" s="267">
        <v>271</v>
      </c>
      <c r="D440" s="268">
        <f t="shared" si="75"/>
        <v>266</v>
      </c>
      <c r="E440" s="267"/>
      <c r="F440" s="267"/>
      <c r="G440" s="267"/>
      <c r="H440" s="267"/>
      <c r="I440" s="287">
        <v>266</v>
      </c>
      <c r="J440" s="288">
        <f t="shared" si="80"/>
        <v>98.15</v>
      </c>
      <c r="K440" s="276" t="s">
        <v>1087</v>
      </c>
      <c r="L440" s="33">
        <v>1</v>
      </c>
      <c r="M440" s="157" t="s">
        <v>1946</v>
      </c>
      <c r="N440" s="157"/>
      <c r="O440" s="157" t="s">
        <v>511</v>
      </c>
      <c r="P440" s="163" t="s">
        <v>1948</v>
      </c>
    </row>
    <row r="441" s="92" customFormat="1" ht="20.1" customHeight="1" spans="1:16">
      <c r="A441" s="157" t="s">
        <v>1949</v>
      </c>
      <c r="B441" s="266" t="s">
        <v>1950</v>
      </c>
      <c r="C441" s="267"/>
      <c r="D441" s="268">
        <f t="shared" si="75"/>
        <v>0</v>
      </c>
      <c r="E441" s="267"/>
      <c r="F441" s="267"/>
      <c r="G441" s="267"/>
      <c r="H441" s="267"/>
      <c r="I441" s="287"/>
      <c r="J441" s="288">
        <f t="shared" si="80"/>
        <v>0</v>
      </c>
      <c r="K441" s="276" t="s">
        <v>1087</v>
      </c>
      <c r="L441" s="33">
        <v>1</v>
      </c>
      <c r="M441" s="157" t="s">
        <v>1949</v>
      </c>
      <c r="N441" s="157"/>
      <c r="O441" s="157" t="s">
        <v>511</v>
      </c>
      <c r="P441" s="163" t="s">
        <v>1951</v>
      </c>
    </row>
    <row r="442" s="92" customFormat="1" ht="20.1" customHeight="1" spans="1:16">
      <c r="A442" s="157" t="s">
        <v>1952</v>
      </c>
      <c r="B442" s="266" t="s">
        <v>1953</v>
      </c>
      <c r="C442" s="267"/>
      <c r="D442" s="268">
        <f t="shared" si="75"/>
        <v>0</v>
      </c>
      <c r="E442" s="267"/>
      <c r="F442" s="267"/>
      <c r="G442" s="267"/>
      <c r="H442" s="267"/>
      <c r="I442" s="287"/>
      <c r="J442" s="288">
        <f t="shared" si="80"/>
        <v>0</v>
      </c>
      <c r="K442" s="276" t="s">
        <v>1087</v>
      </c>
      <c r="L442" s="33">
        <v>1</v>
      </c>
      <c r="M442" s="157" t="s">
        <v>1952</v>
      </c>
      <c r="N442" s="157"/>
      <c r="O442" s="157" t="s">
        <v>511</v>
      </c>
      <c r="P442" s="163" t="s">
        <v>1954</v>
      </c>
    </row>
    <row r="443" s="92" customFormat="1" ht="20.1" customHeight="1" spans="1:16">
      <c r="A443" s="157" t="s">
        <v>1955</v>
      </c>
      <c r="B443" s="266" t="s">
        <v>1956</v>
      </c>
      <c r="C443" s="267"/>
      <c r="D443" s="268">
        <f t="shared" si="75"/>
        <v>0</v>
      </c>
      <c r="E443" s="267"/>
      <c r="F443" s="267"/>
      <c r="G443" s="267"/>
      <c r="H443" s="267"/>
      <c r="I443" s="287"/>
      <c r="J443" s="288">
        <f t="shared" si="80"/>
        <v>0</v>
      </c>
      <c r="K443" s="276" t="s">
        <v>1087</v>
      </c>
      <c r="L443" s="33">
        <v>1</v>
      </c>
      <c r="M443" s="157" t="s">
        <v>1955</v>
      </c>
      <c r="N443" s="157"/>
      <c r="O443" s="157" t="s">
        <v>511</v>
      </c>
      <c r="P443" s="163" t="s">
        <v>1957</v>
      </c>
    </row>
    <row r="444" s="93" customFormat="1" ht="20.1" customHeight="1" spans="1:16">
      <c r="A444" s="263" t="s">
        <v>512</v>
      </c>
      <c r="B444" s="635" t="s">
        <v>278</v>
      </c>
      <c r="C444" s="265">
        <f t="shared" ref="C444:I444" si="89">SUM(C445:C450)</f>
        <v>40</v>
      </c>
      <c r="D444" s="265">
        <f t="shared" si="75"/>
        <v>4063</v>
      </c>
      <c r="E444" s="265">
        <f t="shared" si="89"/>
        <v>0</v>
      </c>
      <c r="F444" s="265">
        <f t="shared" si="89"/>
        <v>0</v>
      </c>
      <c r="G444" s="265">
        <f t="shared" si="89"/>
        <v>3123</v>
      </c>
      <c r="H444" s="265">
        <f t="shared" si="89"/>
        <v>0</v>
      </c>
      <c r="I444" s="265">
        <f t="shared" si="89"/>
        <v>940</v>
      </c>
      <c r="J444" s="298">
        <f t="shared" si="80"/>
        <v>10157.5</v>
      </c>
      <c r="K444" s="284" t="s">
        <v>1082</v>
      </c>
      <c r="L444" s="285"/>
      <c r="M444" s="263" t="s">
        <v>512</v>
      </c>
      <c r="N444" s="263" t="s">
        <v>503</v>
      </c>
      <c r="O444" s="263" t="s">
        <v>512</v>
      </c>
      <c r="P444" s="286" t="s">
        <v>1958</v>
      </c>
    </row>
    <row r="445" s="92" customFormat="1" ht="20.1" customHeight="1" spans="1:16">
      <c r="A445" s="157" t="s">
        <v>1959</v>
      </c>
      <c r="B445" s="269" t="s">
        <v>1960</v>
      </c>
      <c r="C445" s="267">
        <v>40</v>
      </c>
      <c r="D445" s="268">
        <f t="shared" si="75"/>
        <v>4063</v>
      </c>
      <c r="E445" s="267"/>
      <c r="F445" s="267"/>
      <c r="G445" s="267">
        <v>3123</v>
      </c>
      <c r="H445" s="267"/>
      <c r="I445" s="287">
        <v>940</v>
      </c>
      <c r="J445" s="288">
        <f t="shared" si="80"/>
        <v>10157.5</v>
      </c>
      <c r="K445" s="276" t="s">
        <v>1087</v>
      </c>
      <c r="L445" s="33">
        <v>1</v>
      </c>
      <c r="M445" s="157" t="s">
        <v>1959</v>
      </c>
      <c r="N445" s="157"/>
      <c r="O445" s="157" t="s">
        <v>512</v>
      </c>
      <c r="P445" s="164" t="s">
        <v>1961</v>
      </c>
    </row>
    <row r="446" s="92" customFormat="1" ht="20.1" customHeight="1" spans="1:16">
      <c r="A446" s="157" t="s">
        <v>1962</v>
      </c>
      <c r="B446" s="269" t="s">
        <v>1963</v>
      </c>
      <c r="C446" s="267">
        <v>0</v>
      </c>
      <c r="D446" s="268">
        <f t="shared" si="75"/>
        <v>0</v>
      </c>
      <c r="E446" s="267"/>
      <c r="F446" s="267"/>
      <c r="G446" s="267"/>
      <c r="H446" s="267"/>
      <c r="I446" s="287"/>
      <c r="J446" s="288">
        <f t="shared" si="80"/>
        <v>0</v>
      </c>
      <c r="K446" s="276" t="s">
        <v>1087</v>
      </c>
      <c r="L446" s="33">
        <v>1</v>
      </c>
      <c r="M446" s="157" t="s">
        <v>1962</v>
      </c>
      <c r="N446" s="157"/>
      <c r="O446" s="157" t="s">
        <v>512</v>
      </c>
      <c r="P446" s="164" t="s">
        <v>1964</v>
      </c>
    </row>
    <row r="447" s="92" customFormat="1" ht="20.1" customHeight="1" spans="1:16">
      <c r="A447" s="157" t="s">
        <v>1965</v>
      </c>
      <c r="B447" s="269" t="s">
        <v>1966</v>
      </c>
      <c r="C447" s="267">
        <v>0</v>
      </c>
      <c r="D447" s="268">
        <f t="shared" si="75"/>
        <v>0</v>
      </c>
      <c r="E447" s="267"/>
      <c r="F447" s="267"/>
      <c r="G447" s="267"/>
      <c r="H447" s="267"/>
      <c r="I447" s="287"/>
      <c r="J447" s="288">
        <f t="shared" si="80"/>
        <v>0</v>
      </c>
      <c r="K447" s="276" t="s">
        <v>1087</v>
      </c>
      <c r="L447" s="33">
        <v>1</v>
      </c>
      <c r="M447" s="157" t="s">
        <v>1965</v>
      </c>
      <c r="N447" s="157"/>
      <c r="O447" s="157" t="s">
        <v>512</v>
      </c>
      <c r="P447" s="164" t="s">
        <v>1967</v>
      </c>
    </row>
    <row r="448" s="92" customFormat="1" ht="20.1" customHeight="1" spans="1:16">
      <c r="A448" s="157" t="s">
        <v>1968</v>
      </c>
      <c r="B448" s="36" t="s">
        <v>1969</v>
      </c>
      <c r="C448" s="267">
        <v>0</v>
      </c>
      <c r="D448" s="268">
        <f t="shared" si="75"/>
        <v>0</v>
      </c>
      <c r="E448" s="267"/>
      <c r="F448" s="267"/>
      <c r="G448" s="267"/>
      <c r="H448" s="267"/>
      <c r="I448" s="287"/>
      <c r="J448" s="288">
        <f t="shared" si="80"/>
        <v>0</v>
      </c>
      <c r="K448" s="276" t="s">
        <v>1087</v>
      </c>
      <c r="L448" s="33">
        <v>1</v>
      </c>
      <c r="M448" s="157" t="s">
        <v>1968</v>
      </c>
      <c r="N448" s="157"/>
      <c r="O448" s="157" t="s">
        <v>512</v>
      </c>
      <c r="P448" s="164" t="s">
        <v>1970</v>
      </c>
    </row>
    <row r="449" s="92" customFormat="1" ht="20.1" customHeight="1" spans="1:16">
      <c r="A449" s="157" t="s">
        <v>1971</v>
      </c>
      <c r="B449" s="266" t="s">
        <v>1972</v>
      </c>
      <c r="C449" s="267">
        <v>0</v>
      </c>
      <c r="D449" s="268">
        <f t="shared" si="75"/>
        <v>0</v>
      </c>
      <c r="E449" s="267"/>
      <c r="F449" s="267"/>
      <c r="G449" s="267"/>
      <c r="H449" s="267"/>
      <c r="I449" s="287"/>
      <c r="J449" s="288">
        <f t="shared" si="80"/>
        <v>0</v>
      </c>
      <c r="K449" s="276" t="s">
        <v>1087</v>
      </c>
      <c r="L449" s="33">
        <v>1</v>
      </c>
      <c r="M449" s="157" t="s">
        <v>1971</v>
      </c>
      <c r="N449" s="157"/>
      <c r="O449" s="157" t="s">
        <v>512</v>
      </c>
      <c r="P449" s="164" t="s">
        <v>1973</v>
      </c>
    </row>
    <row r="450" s="92" customFormat="1" ht="20.1" customHeight="1" spans="1:16">
      <c r="A450" s="157" t="s">
        <v>1974</v>
      </c>
      <c r="B450" s="266" t="s">
        <v>1975</v>
      </c>
      <c r="C450" s="267">
        <v>0</v>
      </c>
      <c r="D450" s="268">
        <f t="shared" si="75"/>
        <v>0</v>
      </c>
      <c r="E450" s="267"/>
      <c r="F450" s="267"/>
      <c r="G450" s="267"/>
      <c r="H450" s="267"/>
      <c r="I450" s="287"/>
      <c r="J450" s="288">
        <f t="shared" si="80"/>
        <v>0</v>
      </c>
      <c r="K450" s="276" t="s">
        <v>1087</v>
      </c>
      <c r="L450" s="33">
        <v>1</v>
      </c>
      <c r="M450" s="157" t="s">
        <v>1974</v>
      </c>
      <c r="N450" s="157"/>
      <c r="O450" s="157" t="s">
        <v>512</v>
      </c>
      <c r="P450" s="163" t="s">
        <v>1976</v>
      </c>
    </row>
    <row r="451" s="93" customFormat="1" ht="20.1" customHeight="1" spans="1:16">
      <c r="A451" s="263" t="s">
        <v>513</v>
      </c>
      <c r="B451" s="297" t="s">
        <v>279</v>
      </c>
      <c r="C451" s="265">
        <f t="shared" ref="C451:I451" si="90">SUM(C452)</f>
        <v>0</v>
      </c>
      <c r="D451" s="265">
        <f t="shared" si="75"/>
        <v>0</v>
      </c>
      <c r="E451" s="265">
        <f t="shared" si="90"/>
        <v>0</v>
      </c>
      <c r="F451" s="265">
        <f t="shared" si="90"/>
        <v>0</v>
      </c>
      <c r="G451" s="265">
        <f t="shared" si="90"/>
        <v>0</v>
      </c>
      <c r="H451" s="265">
        <f t="shared" si="90"/>
        <v>0</v>
      </c>
      <c r="I451" s="265">
        <f t="shared" si="90"/>
        <v>0</v>
      </c>
      <c r="J451" s="298">
        <f t="shared" si="80"/>
        <v>0</v>
      </c>
      <c r="K451" s="284" t="s">
        <v>1082</v>
      </c>
      <c r="L451" s="285">
        <v>1</v>
      </c>
      <c r="M451" s="263" t="s">
        <v>513</v>
      </c>
      <c r="N451" s="263" t="s">
        <v>503</v>
      </c>
      <c r="O451" s="263" t="s">
        <v>513</v>
      </c>
      <c r="P451" s="286" t="s">
        <v>1977</v>
      </c>
    </row>
    <row r="452" s="92" customFormat="1" ht="20.1" customHeight="1" spans="1:16">
      <c r="A452" s="157" t="s">
        <v>1978</v>
      </c>
      <c r="B452" s="269" t="s">
        <v>1979</v>
      </c>
      <c r="C452" s="267"/>
      <c r="D452" s="267">
        <f t="shared" ref="D452:D503" si="91">SUM(E452:I452)</f>
        <v>0</v>
      </c>
      <c r="E452" s="267"/>
      <c r="F452" s="267"/>
      <c r="G452" s="267"/>
      <c r="H452" s="267"/>
      <c r="I452" s="267"/>
      <c r="J452" s="159"/>
      <c r="K452" s="276" t="s">
        <v>1087</v>
      </c>
      <c r="L452" s="33">
        <v>1</v>
      </c>
      <c r="M452" s="157" t="s">
        <v>1978</v>
      </c>
      <c r="N452" s="157"/>
      <c r="O452" s="157" t="s">
        <v>513</v>
      </c>
      <c r="P452" s="163" t="s">
        <v>1977</v>
      </c>
    </row>
    <row r="453" s="93" customFormat="1" ht="20.1" customHeight="1" spans="1:16">
      <c r="A453" s="154" t="s">
        <v>514</v>
      </c>
      <c r="B453" s="261" t="s">
        <v>280</v>
      </c>
      <c r="C453" s="262">
        <f t="shared" ref="C453:I453" si="92">C454+C459+C468+C474+C479+C484+C489+C496+C500+C504</f>
        <v>1221</v>
      </c>
      <c r="D453" s="262">
        <f t="shared" si="91"/>
        <v>2227</v>
      </c>
      <c r="E453" s="262">
        <f t="shared" si="92"/>
        <v>0</v>
      </c>
      <c r="F453" s="262">
        <f t="shared" si="92"/>
        <v>0</v>
      </c>
      <c r="G453" s="262">
        <f t="shared" si="92"/>
        <v>57</v>
      </c>
      <c r="H453" s="262">
        <f t="shared" si="92"/>
        <v>0</v>
      </c>
      <c r="I453" s="262">
        <f t="shared" si="92"/>
        <v>2170</v>
      </c>
      <c r="J453" s="279">
        <f t="shared" ref="J453:J465" si="93">ROUND(IF(C453=0,IF(D453=0,0,1),IF(D453=0,-1,D453/C453)),4)*100</f>
        <v>182.39</v>
      </c>
      <c r="K453" s="280" t="s">
        <v>1081</v>
      </c>
      <c r="L453" s="281"/>
      <c r="M453" s="154" t="s">
        <v>514</v>
      </c>
      <c r="N453" s="154" t="s">
        <v>514</v>
      </c>
      <c r="O453" s="154" t="s">
        <v>514</v>
      </c>
      <c r="P453" s="282" t="s">
        <v>1980</v>
      </c>
    </row>
    <row r="454" s="93" customFormat="1" ht="20.1" customHeight="1" spans="1:16">
      <c r="A454" s="263" t="s">
        <v>515</v>
      </c>
      <c r="B454" s="297" t="s">
        <v>281</v>
      </c>
      <c r="C454" s="265">
        <f t="shared" ref="C454:I454" si="94">SUM(C455:C458)</f>
        <v>318</v>
      </c>
      <c r="D454" s="265">
        <f t="shared" si="91"/>
        <v>217</v>
      </c>
      <c r="E454" s="265">
        <f t="shared" si="94"/>
        <v>0</v>
      </c>
      <c r="F454" s="265">
        <f t="shared" si="94"/>
        <v>0</v>
      </c>
      <c r="G454" s="265">
        <f t="shared" si="94"/>
        <v>0</v>
      </c>
      <c r="H454" s="265">
        <f t="shared" si="94"/>
        <v>0</v>
      </c>
      <c r="I454" s="265">
        <f t="shared" si="94"/>
        <v>217</v>
      </c>
      <c r="J454" s="298">
        <f t="shared" si="93"/>
        <v>68.24</v>
      </c>
      <c r="K454" s="284" t="s">
        <v>1082</v>
      </c>
      <c r="L454" s="285"/>
      <c r="M454" s="263" t="s">
        <v>515</v>
      </c>
      <c r="N454" s="263" t="s">
        <v>514</v>
      </c>
      <c r="O454" s="263" t="s">
        <v>515</v>
      </c>
      <c r="P454" s="286" t="s">
        <v>1981</v>
      </c>
    </row>
    <row r="455" s="92" customFormat="1" ht="20.1" customHeight="1" spans="1:16">
      <c r="A455" s="157" t="s">
        <v>1982</v>
      </c>
      <c r="B455" s="266" t="s">
        <v>1086</v>
      </c>
      <c r="C455" s="267">
        <v>236</v>
      </c>
      <c r="D455" s="268">
        <f t="shared" si="91"/>
        <v>214</v>
      </c>
      <c r="E455" s="267"/>
      <c r="F455" s="267"/>
      <c r="G455" s="267"/>
      <c r="H455" s="267"/>
      <c r="I455" s="287">
        <v>214</v>
      </c>
      <c r="J455" s="288">
        <f t="shared" si="93"/>
        <v>90.68</v>
      </c>
      <c r="K455" s="276" t="s">
        <v>1087</v>
      </c>
      <c r="L455" s="33">
        <v>1</v>
      </c>
      <c r="M455" s="157" t="s">
        <v>1982</v>
      </c>
      <c r="N455" s="157"/>
      <c r="O455" s="157" t="s">
        <v>515</v>
      </c>
      <c r="P455" s="164" t="s">
        <v>1088</v>
      </c>
    </row>
    <row r="456" s="92" customFormat="1" ht="20.1" customHeight="1" spans="1:16">
      <c r="A456" s="157" t="s">
        <v>1983</v>
      </c>
      <c r="B456" s="266" t="s">
        <v>1090</v>
      </c>
      <c r="C456" s="267">
        <v>82</v>
      </c>
      <c r="D456" s="268">
        <f t="shared" si="91"/>
        <v>3</v>
      </c>
      <c r="E456" s="267"/>
      <c r="F456" s="267"/>
      <c r="G456" s="267"/>
      <c r="H456" s="267"/>
      <c r="I456" s="287">
        <v>3</v>
      </c>
      <c r="J456" s="288">
        <f t="shared" si="93"/>
        <v>3.66</v>
      </c>
      <c r="K456" s="276" t="s">
        <v>1087</v>
      </c>
      <c r="L456" s="33">
        <v>1</v>
      </c>
      <c r="M456" s="157" t="s">
        <v>1983</v>
      </c>
      <c r="N456" s="157"/>
      <c r="O456" s="157" t="s">
        <v>515</v>
      </c>
      <c r="P456" s="164" t="s">
        <v>1091</v>
      </c>
    </row>
    <row r="457" s="92" customFormat="1" ht="20.1" customHeight="1" spans="1:16">
      <c r="A457" s="157" t="s">
        <v>1984</v>
      </c>
      <c r="B457" s="266" t="s">
        <v>1093</v>
      </c>
      <c r="C457" s="267"/>
      <c r="D457" s="268">
        <f t="shared" si="91"/>
        <v>0</v>
      </c>
      <c r="E457" s="267"/>
      <c r="F457" s="267"/>
      <c r="G457" s="267"/>
      <c r="H457" s="267"/>
      <c r="I457" s="287"/>
      <c r="J457" s="288">
        <f t="shared" si="93"/>
        <v>0</v>
      </c>
      <c r="K457" s="276" t="s">
        <v>1087</v>
      </c>
      <c r="L457" s="33">
        <v>1</v>
      </c>
      <c r="M457" s="157" t="s">
        <v>1984</v>
      </c>
      <c r="N457" s="157"/>
      <c r="O457" s="157" t="s">
        <v>515</v>
      </c>
      <c r="P457" s="164" t="s">
        <v>1094</v>
      </c>
    </row>
    <row r="458" s="92" customFormat="1" ht="20.1" customHeight="1" spans="1:16">
      <c r="A458" s="157" t="s">
        <v>1985</v>
      </c>
      <c r="B458" s="269" t="s">
        <v>1986</v>
      </c>
      <c r="C458" s="267"/>
      <c r="D458" s="268">
        <f t="shared" si="91"/>
        <v>0</v>
      </c>
      <c r="E458" s="267"/>
      <c r="F458" s="267"/>
      <c r="G458" s="267"/>
      <c r="H458" s="267"/>
      <c r="I458" s="287"/>
      <c r="J458" s="288">
        <f t="shared" si="93"/>
        <v>0</v>
      </c>
      <c r="K458" s="276" t="s">
        <v>1087</v>
      </c>
      <c r="L458" s="33">
        <v>1</v>
      </c>
      <c r="M458" s="157" t="s">
        <v>1985</v>
      </c>
      <c r="N458" s="157"/>
      <c r="O458" s="157" t="s">
        <v>515</v>
      </c>
      <c r="P458" s="163" t="s">
        <v>1987</v>
      </c>
    </row>
    <row r="459" s="93" customFormat="1" ht="20.1" customHeight="1" spans="1:16">
      <c r="A459" s="263" t="s">
        <v>516</v>
      </c>
      <c r="B459" s="297" t="s">
        <v>282</v>
      </c>
      <c r="C459" s="265">
        <f t="shared" ref="C459:I459" si="95">SUM(C460:C467)</f>
        <v>200</v>
      </c>
      <c r="D459" s="265">
        <f t="shared" si="91"/>
        <v>196</v>
      </c>
      <c r="E459" s="265">
        <f t="shared" si="95"/>
        <v>0</v>
      </c>
      <c r="F459" s="265">
        <f t="shared" si="95"/>
        <v>0</v>
      </c>
      <c r="G459" s="265">
        <f t="shared" si="95"/>
        <v>0</v>
      </c>
      <c r="H459" s="265">
        <f t="shared" si="95"/>
        <v>0</v>
      </c>
      <c r="I459" s="265">
        <f t="shared" si="95"/>
        <v>196</v>
      </c>
      <c r="J459" s="298">
        <f t="shared" si="93"/>
        <v>98</v>
      </c>
      <c r="K459" s="284" t="s">
        <v>1082</v>
      </c>
      <c r="L459" s="285"/>
      <c r="M459" s="263" t="s">
        <v>516</v>
      </c>
      <c r="N459" s="263" t="s">
        <v>514</v>
      </c>
      <c r="O459" s="263" t="s">
        <v>516</v>
      </c>
      <c r="P459" s="286" t="s">
        <v>1988</v>
      </c>
    </row>
    <row r="460" s="92" customFormat="1" ht="20.1" customHeight="1" spans="1:16">
      <c r="A460" s="157" t="s">
        <v>1989</v>
      </c>
      <c r="B460" s="266" t="s">
        <v>1990</v>
      </c>
      <c r="C460" s="267">
        <v>200</v>
      </c>
      <c r="D460" s="268">
        <f t="shared" si="91"/>
        <v>196</v>
      </c>
      <c r="E460" s="267"/>
      <c r="F460" s="267"/>
      <c r="G460" s="267"/>
      <c r="H460" s="267"/>
      <c r="I460" s="287">
        <v>196</v>
      </c>
      <c r="J460" s="288">
        <f t="shared" si="93"/>
        <v>98</v>
      </c>
      <c r="K460" s="276" t="s">
        <v>1087</v>
      </c>
      <c r="L460" s="33">
        <v>1</v>
      </c>
      <c r="M460" s="157" t="s">
        <v>1989</v>
      </c>
      <c r="N460" s="157"/>
      <c r="O460" s="157" t="s">
        <v>516</v>
      </c>
      <c r="P460" s="164" t="s">
        <v>1991</v>
      </c>
    </row>
    <row r="461" s="92" customFormat="1" ht="20.1" customHeight="1" spans="1:16">
      <c r="A461" s="157" t="s">
        <v>1992</v>
      </c>
      <c r="B461" s="36" t="s">
        <v>1993</v>
      </c>
      <c r="C461" s="267"/>
      <c r="D461" s="268">
        <f t="shared" si="91"/>
        <v>0</v>
      </c>
      <c r="E461" s="267"/>
      <c r="F461" s="267"/>
      <c r="G461" s="267"/>
      <c r="H461" s="267"/>
      <c r="I461" s="287"/>
      <c r="J461" s="288">
        <f t="shared" si="93"/>
        <v>0</v>
      </c>
      <c r="K461" s="276" t="s">
        <v>1087</v>
      </c>
      <c r="L461" s="33">
        <v>1</v>
      </c>
      <c r="M461" s="157" t="s">
        <v>1992</v>
      </c>
      <c r="N461" s="157"/>
      <c r="O461" s="157" t="s">
        <v>516</v>
      </c>
      <c r="P461" s="163" t="s">
        <v>1994</v>
      </c>
    </row>
    <row r="462" s="92" customFormat="1" ht="20.1" customHeight="1" spans="1:16">
      <c r="A462" s="157" t="s">
        <v>1995</v>
      </c>
      <c r="B462" s="266" t="s">
        <v>1996</v>
      </c>
      <c r="C462" s="267"/>
      <c r="D462" s="268">
        <f t="shared" si="91"/>
        <v>0</v>
      </c>
      <c r="E462" s="267"/>
      <c r="F462" s="267"/>
      <c r="G462" s="267"/>
      <c r="H462" s="267"/>
      <c r="I462" s="287"/>
      <c r="J462" s="288">
        <f t="shared" si="93"/>
        <v>0</v>
      </c>
      <c r="K462" s="276" t="s">
        <v>1087</v>
      </c>
      <c r="L462" s="33">
        <v>1</v>
      </c>
      <c r="M462" s="157" t="s">
        <v>1995</v>
      </c>
      <c r="N462" s="157"/>
      <c r="O462" s="157" t="s">
        <v>516</v>
      </c>
      <c r="P462" s="163" t="s">
        <v>1997</v>
      </c>
    </row>
    <row r="463" s="92" customFormat="1" ht="20.1" customHeight="1" spans="1:16">
      <c r="A463" s="157" t="s">
        <v>1998</v>
      </c>
      <c r="B463" s="266" t="s">
        <v>1999</v>
      </c>
      <c r="C463" s="267"/>
      <c r="D463" s="268">
        <f t="shared" si="91"/>
        <v>0</v>
      </c>
      <c r="E463" s="267"/>
      <c r="F463" s="267"/>
      <c r="G463" s="267"/>
      <c r="H463" s="267"/>
      <c r="I463" s="287"/>
      <c r="J463" s="288">
        <f t="shared" si="93"/>
        <v>0</v>
      </c>
      <c r="K463" s="276" t="s">
        <v>1087</v>
      </c>
      <c r="L463" s="33">
        <v>1</v>
      </c>
      <c r="M463" s="157" t="s">
        <v>1998</v>
      </c>
      <c r="N463" s="157"/>
      <c r="O463" s="157" t="s">
        <v>516</v>
      </c>
      <c r="P463" s="163" t="s">
        <v>2000</v>
      </c>
    </row>
    <row r="464" s="92" customFormat="1" ht="20.1" customHeight="1" spans="1:16">
      <c r="A464" s="157" t="s">
        <v>2001</v>
      </c>
      <c r="B464" s="266" t="s">
        <v>2002</v>
      </c>
      <c r="C464" s="267"/>
      <c r="D464" s="268">
        <f t="shared" si="91"/>
        <v>0</v>
      </c>
      <c r="E464" s="267"/>
      <c r="F464" s="267"/>
      <c r="G464" s="267"/>
      <c r="H464" s="267"/>
      <c r="I464" s="287"/>
      <c r="J464" s="288">
        <f t="shared" si="93"/>
        <v>0</v>
      </c>
      <c r="K464" s="276" t="s">
        <v>1087</v>
      </c>
      <c r="L464" s="33">
        <v>1</v>
      </c>
      <c r="M464" s="157" t="s">
        <v>2001</v>
      </c>
      <c r="N464" s="157"/>
      <c r="O464" s="157" t="s">
        <v>516</v>
      </c>
      <c r="P464" s="163" t="s">
        <v>2003</v>
      </c>
    </row>
    <row r="465" s="92" customFormat="1" ht="20.1" customHeight="1" spans="1:16">
      <c r="A465" s="157" t="s">
        <v>2004</v>
      </c>
      <c r="B465" s="269" t="s">
        <v>2005</v>
      </c>
      <c r="C465" s="267"/>
      <c r="D465" s="268">
        <f t="shared" si="91"/>
        <v>0</v>
      </c>
      <c r="E465" s="267"/>
      <c r="F465" s="267"/>
      <c r="G465" s="267"/>
      <c r="H465" s="267"/>
      <c r="I465" s="287"/>
      <c r="J465" s="288">
        <f t="shared" si="93"/>
        <v>0</v>
      </c>
      <c r="K465" s="276" t="s">
        <v>1087</v>
      </c>
      <c r="L465" s="33">
        <v>1</v>
      </c>
      <c r="M465" s="157" t="s">
        <v>2004</v>
      </c>
      <c r="N465" s="157"/>
      <c r="O465" s="157" t="s">
        <v>516</v>
      </c>
      <c r="P465" s="163" t="s">
        <v>2006</v>
      </c>
    </row>
    <row r="466" s="92" customFormat="1" ht="20.1" customHeight="1" spans="1:16">
      <c r="A466" s="157" t="s">
        <v>2007</v>
      </c>
      <c r="B466" s="269" t="s">
        <v>2008</v>
      </c>
      <c r="C466" s="267"/>
      <c r="D466" s="268">
        <f t="shared" si="91"/>
        <v>0</v>
      </c>
      <c r="E466" s="267"/>
      <c r="F466" s="267"/>
      <c r="G466" s="267"/>
      <c r="H466" s="267"/>
      <c r="I466" s="287"/>
      <c r="J466" s="288"/>
      <c r="K466" s="276" t="s">
        <v>1087</v>
      </c>
      <c r="L466" s="33">
        <v>1</v>
      </c>
      <c r="M466" s="157" t="s">
        <v>2007</v>
      </c>
      <c r="N466" s="157"/>
      <c r="O466" s="157" t="s">
        <v>516</v>
      </c>
      <c r="P466" s="163" t="s">
        <v>2009</v>
      </c>
    </row>
    <row r="467" s="92" customFormat="1" ht="20.1" customHeight="1" spans="1:16">
      <c r="A467" s="157" t="s">
        <v>2010</v>
      </c>
      <c r="B467" s="269" t="s">
        <v>2011</v>
      </c>
      <c r="C467" s="267"/>
      <c r="D467" s="268">
        <f t="shared" si="91"/>
        <v>0</v>
      </c>
      <c r="E467" s="267"/>
      <c r="F467" s="267"/>
      <c r="G467" s="267"/>
      <c r="H467" s="267"/>
      <c r="I467" s="287"/>
      <c r="J467" s="288">
        <f t="shared" ref="J467:J476" si="96">ROUND(IF(C467=0,IF(D467=0,0,1),IF(D467=0,-1,D467/C467)),4)*100</f>
        <v>0</v>
      </c>
      <c r="K467" s="276" t="s">
        <v>1087</v>
      </c>
      <c r="L467" s="33">
        <v>1</v>
      </c>
      <c r="M467" s="157" t="s">
        <v>2010</v>
      </c>
      <c r="N467" s="157"/>
      <c r="O467" s="157" t="s">
        <v>516</v>
      </c>
      <c r="P467" s="163" t="s">
        <v>2012</v>
      </c>
    </row>
    <row r="468" s="93" customFormat="1" ht="20.1" customHeight="1" spans="1:16">
      <c r="A468" s="263" t="s">
        <v>517</v>
      </c>
      <c r="B468" s="297" t="s">
        <v>283</v>
      </c>
      <c r="C468" s="265">
        <f t="shared" ref="C468:F468" si="97">SUM(C469:C473)</f>
        <v>0</v>
      </c>
      <c r="D468" s="265">
        <f t="shared" si="91"/>
        <v>0</v>
      </c>
      <c r="E468" s="265">
        <f t="shared" si="97"/>
        <v>0</v>
      </c>
      <c r="F468" s="265">
        <f t="shared" si="97"/>
        <v>0</v>
      </c>
      <c r="G468" s="265">
        <f>VLOOKUP(A468,[1]√表四、2024年公共财政支出变动表!$A$7:$R$214,18,FALSE)</f>
        <v>0</v>
      </c>
      <c r="H468" s="265">
        <f>SUM(H469:H473)</f>
        <v>0</v>
      </c>
      <c r="I468" s="265"/>
      <c r="J468" s="298">
        <f t="shared" si="96"/>
        <v>0</v>
      </c>
      <c r="K468" s="284" t="s">
        <v>1082</v>
      </c>
      <c r="L468" s="285"/>
      <c r="M468" s="263" t="s">
        <v>517</v>
      </c>
      <c r="N468" s="263" t="s">
        <v>514</v>
      </c>
      <c r="O468" s="263" t="s">
        <v>517</v>
      </c>
      <c r="P468" s="286" t="s">
        <v>2013</v>
      </c>
    </row>
    <row r="469" s="92" customFormat="1" ht="20.1" customHeight="1" spans="1:16">
      <c r="A469" s="157" t="s">
        <v>2014</v>
      </c>
      <c r="B469" s="266" t="s">
        <v>1990</v>
      </c>
      <c r="C469" s="267">
        <v>0</v>
      </c>
      <c r="D469" s="268">
        <f t="shared" si="91"/>
        <v>0</v>
      </c>
      <c r="E469" s="267"/>
      <c r="F469" s="267"/>
      <c r="G469" s="267"/>
      <c r="H469" s="267"/>
      <c r="I469" s="287"/>
      <c r="J469" s="288">
        <f t="shared" si="96"/>
        <v>0</v>
      </c>
      <c r="K469" s="276" t="s">
        <v>1087</v>
      </c>
      <c r="L469" s="33">
        <v>1</v>
      </c>
      <c r="M469" s="157" t="s">
        <v>2014</v>
      </c>
      <c r="N469" s="157"/>
      <c r="O469" s="157" t="s">
        <v>517</v>
      </c>
      <c r="P469" s="164" t="s">
        <v>1991</v>
      </c>
    </row>
    <row r="470" s="92" customFormat="1" ht="20.1" customHeight="1" spans="1:16">
      <c r="A470" s="157" t="s">
        <v>2015</v>
      </c>
      <c r="B470" s="266" t="s">
        <v>2016</v>
      </c>
      <c r="C470" s="267"/>
      <c r="D470" s="268">
        <f t="shared" si="91"/>
        <v>0</v>
      </c>
      <c r="E470" s="267"/>
      <c r="F470" s="267"/>
      <c r="G470" s="267"/>
      <c r="H470" s="267"/>
      <c r="I470" s="287"/>
      <c r="J470" s="288">
        <f t="shared" si="96"/>
        <v>0</v>
      </c>
      <c r="K470" s="276" t="s">
        <v>1087</v>
      </c>
      <c r="L470" s="33">
        <v>1</v>
      </c>
      <c r="M470" s="157" t="s">
        <v>2015</v>
      </c>
      <c r="N470" s="157"/>
      <c r="O470" s="157" t="s">
        <v>517</v>
      </c>
      <c r="P470" s="163" t="s">
        <v>2017</v>
      </c>
    </row>
    <row r="471" s="92" customFormat="1" ht="20.1" customHeight="1" spans="1:16">
      <c r="A471" s="157" t="s">
        <v>2018</v>
      </c>
      <c r="B471" s="266" t="s">
        <v>2019</v>
      </c>
      <c r="C471" s="267">
        <v>0</v>
      </c>
      <c r="D471" s="268">
        <f t="shared" si="91"/>
        <v>0</v>
      </c>
      <c r="E471" s="267"/>
      <c r="F471" s="267"/>
      <c r="G471" s="267"/>
      <c r="H471" s="267"/>
      <c r="I471" s="287"/>
      <c r="J471" s="288">
        <f t="shared" si="96"/>
        <v>0</v>
      </c>
      <c r="K471" s="276" t="s">
        <v>1087</v>
      </c>
      <c r="L471" s="33">
        <v>1</v>
      </c>
      <c r="M471" s="157" t="s">
        <v>2018</v>
      </c>
      <c r="N471" s="157"/>
      <c r="O471" s="157" t="s">
        <v>517</v>
      </c>
      <c r="P471" s="163" t="s">
        <v>2020</v>
      </c>
    </row>
    <row r="472" s="92" customFormat="1" ht="20.1" customHeight="1" spans="1:16">
      <c r="A472" s="157" t="s">
        <v>2021</v>
      </c>
      <c r="B472" s="269" t="s">
        <v>2022</v>
      </c>
      <c r="C472" s="267">
        <v>0</v>
      </c>
      <c r="D472" s="268">
        <f t="shared" si="91"/>
        <v>0</v>
      </c>
      <c r="E472" s="267"/>
      <c r="F472" s="267"/>
      <c r="G472" s="267"/>
      <c r="H472" s="267"/>
      <c r="I472" s="287"/>
      <c r="J472" s="288">
        <f t="shared" si="96"/>
        <v>0</v>
      </c>
      <c r="K472" s="276" t="s">
        <v>1087</v>
      </c>
      <c r="L472" s="33">
        <v>1</v>
      </c>
      <c r="M472" s="157" t="s">
        <v>2021</v>
      </c>
      <c r="N472" s="157"/>
      <c r="O472" s="157" t="s">
        <v>517</v>
      </c>
      <c r="P472" s="163" t="s">
        <v>2023</v>
      </c>
    </row>
    <row r="473" s="92" customFormat="1" ht="20.1" customHeight="1" spans="1:16">
      <c r="A473" s="157" t="s">
        <v>2024</v>
      </c>
      <c r="B473" s="269" t="s">
        <v>2025</v>
      </c>
      <c r="C473" s="267">
        <v>0</v>
      </c>
      <c r="D473" s="268">
        <f t="shared" si="91"/>
        <v>0</v>
      </c>
      <c r="E473" s="267"/>
      <c r="F473" s="267"/>
      <c r="G473" s="267"/>
      <c r="H473" s="267"/>
      <c r="I473" s="287"/>
      <c r="J473" s="288">
        <f t="shared" si="96"/>
        <v>0</v>
      </c>
      <c r="K473" s="276" t="s">
        <v>1087</v>
      </c>
      <c r="L473" s="33">
        <v>1</v>
      </c>
      <c r="M473" s="157" t="s">
        <v>2024</v>
      </c>
      <c r="N473" s="157"/>
      <c r="O473" s="157" t="s">
        <v>517</v>
      </c>
      <c r="P473" s="163" t="s">
        <v>2026</v>
      </c>
    </row>
    <row r="474" s="93" customFormat="1" ht="20.1" customHeight="1" spans="1:16">
      <c r="A474" s="263" t="s">
        <v>518</v>
      </c>
      <c r="B474" s="297" t="s">
        <v>284</v>
      </c>
      <c r="C474" s="265">
        <f t="shared" ref="C474:I474" si="98">SUM(C475:C478)</f>
        <v>505</v>
      </c>
      <c r="D474" s="265">
        <f t="shared" si="91"/>
        <v>1674</v>
      </c>
      <c r="E474" s="265">
        <f t="shared" si="98"/>
        <v>0</v>
      </c>
      <c r="F474" s="265">
        <f t="shared" si="98"/>
        <v>0</v>
      </c>
      <c r="G474" s="265">
        <f t="shared" si="98"/>
        <v>0</v>
      </c>
      <c r="H474" s="265">
        <f t="shared" si="98"/>
        <v>0</v>
      </c>
      <c r="I474" s="265">
        <f t="shared" si="98"/>
        <v>1674</v>
      </c>
      <c r="J474" s="298">
        <f t="shared" si="96"/>
        <v>331.49</v>
      </c>
      <c r="K474" s="284" t="s">
        <v>1082</v>
      </c>
      <c r="L474" s="285"/>
      <c r="M474" s="263" t="s">
        <v>518</v>
      </c>
      <c r="N474" s="263" t="s">
        <v>514</v>
      </c>
      <c r="O474" s="263" t="s">
        <v>518</v>
      </c>
      <c r="P474" s="286" t="s">
        <v>2027</v>
      </c>
    </row>
    <row r="475" s="92" customFormat="1" ht="20.1" customHeight="1" spans="1:16">
      <c r="A475" s="157" t="s">
        <v>2028</v>
      </c>
      <c r="B475" s="36" t="s">
        <v>1990</v>
      </c>
      <c r="C475" s="267"/>
      <c r="D475" s="268">
        <f t="shared" si="91"/>
        <v>0</v>
      </c>
      <c r="E475" s="267"/>
      <c r="F475" s="267"/>
      <c r="G475" s="267"/>
      <c r="H475" s="267"/>
      <c r="I475" s="287"/>
      <c r="J475" s="288">
        <f t="shared" si="96"/>
        <v>0</v>
      </c>
      <c r="K475" s="276" t="s">
        <v>1087</v>
      </c>
      <c r="L475" s="33">
        <v>1</v>
      </c>
      <c r="M475" s="157" t="s">
        <v>2028</v>
      </c>
      <c r="N475" s="157"/>
      <c r="O475" s="157" t="s">
        <v>518</v>
      </c>
      <c r="P475" s="164" t="s">
        <v>1991</v>
      </c>
    </row>
    <row r="476" s="92" customFormat="1" ht="20.1" customHeight="1" spans="1:16">
      <c r="A476" s="157" t="s">
        <v>2029</v>
      </c>
      <c r="B476" s="266" t="s">
        <v>2030</v>
      </c>
      <c r="C476" s="267">
        <v>1</v>
      </c>
      <c r="D476" s="268">
        <f t="shared" si="91"/>
        <v>0</v>
      </c>
      <c r="E476" s="267"/>
      <c r="F476" s="267"/>
      <c r="G476" s="267"/>
      <c r="H476" s="267"/>
      <c r="I476" s="287"/>
      <c r="J476" s="288">
        <f t="shared" si="96"/>
        <v>-100</v>
      </c>
      <c r="K476" s="276" t="s">
        <v>1087</v>
      </c>
      <c r="L476" s="33">
        <v>1</v>
      </c>
      <c r="M476" s="157" t="s">
        <v>2029</v>
      </c>
      <c r="N476" s="157"/>
      <c r="O476" s="157" t="s">
        <v>518</v>
      </c>
      <c r="P476" s="163" t="s">
        <v>2031</v>
      </c>
    </row>
    <row r="477" s="92" customFormat="1" ht="20.1" customHeight="1" spans="1:16">
      <c r="A477" s="157" t="s">
        <v>2032</v>
      </c>
      <c r="B477" s="266" t="s">
        <v>2033</v>
      </c>
      <c r="C477" s="267"/>
      <c r="D477" s="268">
        <f t="shared" si="91"/>
        <v>0</v>
      </c>
      <c r="E477" s="267"/>
      <c r="F477" s="267"/>
      <c r="G477" s="267"/>
      <c r="H477" s="267"/>
      <c r="I477" s="287"/>
      <c r="J477" s="288"/>
      <c r="K477" s="276" t="s">
        <v>1087</v>
      </c>
      <c r="L477" s="33">
        <v>1</v>
      </c>
      <c r="M477" s="157" t="s">
        <v>2032</v>
      </c>
      <c r="N477" s="157"/>
      <c r="O477" s="157" t="s">
        <v>518</v>
      </c>
      <c r="P477" s="163" t="s">
        <v>2034</v>
      </c>
    </row>
    <row r="478" s="92" customFormat="1" ht="20.1" customHeight="1" spans="1:16">
      <c r="A478" s="157" t="s">
        <v>2035</v>
      </c>
      <c r="B478" s="269" t="s">
        <v>2036</v>
      </c>
      <c r="C478" s="267">
        <v>504</v>
      </c>
      <c r="D478" s="268">
        <f t="shared" si="91"/>
        <v>1674</v>
      </c>
      <c r="E478" s="267"/>
      <c r="F478" s="267"/>
      <c r="G478" s="267"/>
      <c r="H478" s="267"/>
      <c r="I478" s="287">
        <v>1674</v>
      </c>
      <c r="J478" s="288">
        <f t="shared" ref="J478:J541" si="99">ROUND(IF(C478=0,IF(D478=0,0,1),IF(D478=0,-1,D478/C478)),4)*100</f>
        <v>332.14</v>
      </c>
      <c r="K478" s="276" t="s">
        <v>1087</v>
      </c>
      <c r="L478" s="33">
        <v>1</v>
      </c>
      <c r="M478" s="157" t="s">
        <v>2035</v>
      </c>
      <c r="N478" s="157"/>
      <c r="O478" s="157" t="s">
        <v>518</v>
      </c>
      <c r="P478" s="163" t="s">
        <v>2037</v>
      </c>
    </row>
    <row r="479" s="93" customFormat="1" ht="20.1" customHeight="1" spans="1:16">
      <c r="A479" s="263" t="s">
        <v>519</v>
      </c>
      <c r="B479" s="297" t="s">
        <v>285</v>
      </c>
      <c r="C479" s="265">
        <v>0</v>
      </c>
      <c r="D479" s="265">
        <f t="shared" si="91"/>
        <v>0</v>
      </c>
      <c r="E479" s="265">
        <f t="shared" ref="E479:H479" si="100">SUM(E480:E483)</f>
        <v>0</v>
      </c>
      <c r="F479" s="265">
        <f t="shared" si="100"/>
        <v>0</v>
      </c>
      <c r="G479" s="265">
        <f>VLOOKUP(A479,[1]√表四、2024年公共财政支出变动表!$A$7:$R$214,18,FALSE)</f>
        <v>0</v>
      </c>
      <c r="H479" s="265">
        <f t="shared" si="100"/>
        <v>0</v>
      </c>
      <c r="I479" s="265"/>
      <c r="J479" s="298">
        <f t="shared" si="99"/>
        <v>0</v>
      </c>
      <c r="K479" s="284" t="s">
        <v>1082</v>
      </c>
      <c r="L479" s="285"/>
      <c r="M479" s="263" t="s">
        <v>519</v>
      </c>
      <c r="N479" s="263" t="s">
        <v>514</v>
      </c>
      <c r="O479" s="263" t="s">
        <v>519</v>
      </c>
      <c r="P479" s="286" t="s">
        <v>2038</v>
      </c>
    </row>
    <row r="480" s="92" customFormat="1" ht="20.1" customHeight="1" spans="1:16">
      <c r="A480" s="157" t="s">
        <v>2039</v>
      </c>
      <c r="B480" s="269" t="s">
        <v>1990</v>
      </c>
      <c r="C480" s="267">
        <v>0</v>
      </c>
      <c r="D480" s="268">
        <f t="shared" si="91"/>
        <v>0</v>
      </c>
      <c r="E480" s="267"/>
      <c r="F480" s="267"/>
      <c r="G480" s="267"/>
      <c r="H480" s="267"/>
      <c r="I480" s="287"/>
      <c r="J480" s="288">
        <f t="shared" si="99"/>
        <v>0</v>
      </c>
      <c r="K480" s="276" t="s">
        <v>1087</v>
      </c>
      <c r="L480" s="33">
        <v>1</v>
      </c>
      <c r="M480" s="157" t="s">
        <v>2039</v>
      </c>
      <c r="N480" s="157"/>
      <c r="O480" s="157" t="s">
        <v>519</v>
      </c>
      <c r="P480" s="164" t="s">
        <v>1991</v>
      </c>
    </row>
    <row r="481" s="92" customFormat="1" ht="20.1" customHeight="1" spans="1:16">
      <c r="A481" s="157" t="s">
        <v>2040</v>
      </c>
      <c r="B481" s="266" t="s">
        <v>2041</v>
      </c>
      <c r="C481" s="267">
        <v>0</v>
      </c>
      <c r="D481" s="268">
        <f t="shared" si="91"/>
        <v>0</v>
      </c>
      <c r="E481" s="267"/>
      <c r="F481" s="267"/>
      <c r="G481" s="267"/>
      <c r="H481" s="267"/>
      <c r="I481" s="287"/>
      <c r="J481" s="288">
        <f t="shared" si="99"/>
        <v>0</v>
      </c>
      <c r="K481" s="276" t="s">
        <v>1087</v>
      </c>
      <c r="L481" s="33">
        <v>1</v>
      </c>
      <c r="M481" s="157" t="s">
        <v>2040</v>
      </c>
      <c r="N481" s="157"/>
      <c r="O481" s="157" t="s">
        <v>519</v>
      </c>
      <c r="P481" s="163" t="s">
        <v>2042</v>
      </c>
    </row>
    <row r="482" s="92" customFormat="1" ht="20.1" customHeight="1" spans="1:16">
      <c r="A482" s="157" t="s">
        <v>2043</v>
      </c>
      <c r="B482" s="266" t="s">
        <v>2044</v>
      </c>
      <c r="C482" s="267">
        <v>0</v>
      </c>
      <c r="D482" s="268">
        <f t="shared" si="91"/>
        <v>0</v>
      </c>
      <c r="E482" s="267"/>
      <c r="F482" s="267"/>
      <c r="G482" s="267"/>
      <c r="H482" s="267"/>
      <c r="I482" s="287"/>
      <c r="J482" s="288">
        <f t="shared" si="99"/>
        <v>0</v>
      </c>
      <c r="K482" s="276" t="s">
        <v>1087</v>
      </c>
      <c r="L482" s="33">
        <v>1</v>
      </c>
      <c r="M482" s="157" t="s">
        <v>2043</v>
      </c>
      <c r="N482" s="157"/>
      <c r="O482" s="157" t="s">
        <v>519</v>
      </c>
      <c r="P482" s="163" t="s">
        <v>2045</v>
      </c>
    </row>
    <row r="483" s="92" customFormat="1" ht="20.1" customHeight="1" spans="1:16">
      <c r="A483" s="157" t="s">
        <v>2046</v>
      </c>
      <c r="B483" s="266" t="s">
        <v>2047</v>
      </c>
      <c r="C483" s="267">
        <v>0</v>
      </c>
      <c r="D483" s="268">
        <f t="shared" si="91"/>
        <v>0</v>
      </c>
      <c r="E483" s="267"/>
      <c r="F483" s="267"/>
      <c r="G483" s="267"/>
      <c r="H483" s="267"/>
      <c r="I483" s="287"/>
      <c r="J483" s="288">
        <f t="shared" si="99"/>
        <v>0</v>
      </c>
      <c r="K483" s="276" t="s">
        <v>1087</v>
      </c>
      <c r="L483" s="33">
        <v>1</v>
      </c>
      <c r="M483" s="157" t="s">
        <v>2046</v>
      </c>
      <c r="N483" s="157"/>
      <c r="O483" s="157" t="s">
        <v>519</v>
      </c>
      <c r="P483" s="163" t="s">
        <v>2048</v>
      </c>
    </row>
    <row r="484" s="93" customFormat="1" ht="20.1" customHeight="1" spans="1:16">
      <c r="A484" s="263" t="s">
        <v>520</v>
      </c>
      <c r="B484" s="297" t="s">
        <v>286</v>
      </c>
      <c r="C484" s="265">
        <f t="shared" ref="C484:F484" si="101">SUM(C485:C488)</f>
        <v>0</v>
      </c>
      <c r="D484" s="265">
        <f t="shared" si="91"/>
        <v>0</v>
      </c>
      <c r="E484" s="265">
        <f t="shared" si="101"/>
        <v>0</v>
      </c>
      <c r="F484" s="265">
        <f t="shared" si="101"/>
        <v>0</v>
      </c>
      <c r="G484" s="265">
        <f>VLOOKUP(A484,[1]√表四、2024年公共财政支出变动表!$A$7:$R$214,18,FALSE)</f>
        <v>0</v>
      </c>
      <c r="H484" s="265">
        <f>SUM(H485:H488)</f>
        <v>0</v>
      </c>
      <c r="I484" s="265"/>
      <c r="J484" s="298">
        <f t="shared" si="99"/>
        <v>0</v>
      </c>
      <c r="K484" s="284" t="s">
        <v>1082</v>
      </c>
      <c r="L484" s="285"/>
      <c r="M484" s="263" t="s">
        <v>520</v>
      </c>
      <c r="N484" s="263" t="s">
        <v>514</v>
      </c>
      <c r="O484" s="263" t="s">
        <v>520</v>
      </c>
      <c r="P484" s="286" t="s">
        <v>2049</v>
      </c>
    </row>
    <row r="485" s="92" customFormat="1" ht="20.1" customHeight="1" spans="1:16">
      <c r="A485" s="157" t="s">
        <v>2050</v>
      </c>
      <c r="B485" s="269" t="s">
        <v>2051</v>
      </c>
      <c r="C485" s="267"/>
      <c r="D485" s="268">
        <f t="shared" si="91"/>
        <v>0</v>
      </c>
      <c r="E485" s="267"/>
      <c r="F485" s="267"/>
      <c r="G485" s="267"/>
      <c r="H485" s="267"/>
      <c r="I485" s="287"/>
      <c r="J485" s="288">
        <f t="shared" si="99"/>
        <v>0</v>
      </c>
      <c r="K485" s="276" t="s">
        <v>1087</v>
      </c>
      <c r="L485" s="33">
        <v>1</v>
      </c>
      <c r="M485" s="157" t="s">
        <v>2050</v>
      </c>
      <c r="N485" s="157"/>
      <c r="O485" s="157" t="s">
        <v>520</v>
      </c>
      <c r="P485" s="163" t="s">
        <v>2052</v>
      </c>
    </row>
    <row r="486" s="92" customFormat="1" ht="20.1" customHeight="1" spans="1:16">
      <c r="A486" s="157" t="s">
        <v>2053</v>
      </c>
      <c r="B486" s="269" t="s">
        <v>2054</v>
      </c>
      <c r="C486" s="267"/>
      <c r="D486" s="268">
        <f t="shared" si="91"/>
        <v>0</v>
      </c>
      <c r="E486" s="267"/>
      <c r="F486" s="267"/>
      <c r="G486" s="267"/>
      <c r="H486" s="267"/>
      <c r="I486" s="287"/>
      <c r="J486" s="288">
        <f t="shared" si="99"/>
        <v>0</v>
      </c>
      <c r="K486" s="276" t="s">
        <v>1087</v>
      </c>
      <c r="L486" s="33">
        <v>1</v>
      </c>
      <c r="M486" s="157" t="s">
        <v>2053</v>
      </c>
      <c r="N486" s="157"/>
      <c r="O486" s="157" t="s">
        <v>520</v>
      </c>
      <c r="P486" s="163" t="s">
        <v>2055</v>
      </c>
    </row>
    <row r="487" s="92" customFormat="1" ht="20.1" customHeight="1" spans="1:16">
      <c r="A487" s="157" t="s">
        <v>2056</v>
      </c>
      <c r="B487" s="36" t="s">
        <v>2057</v>
      </c>
      <c r="C487" s="267">
        <v>0</v>
      </c>
      <c r="D487" s="268">
        <f t="shared" si="91"/>
        <v>0</v>
      </c>
      <c r="E487" s="267"/>
      <c r="F487" s="267"/>
      <c r="G487" s="267"/>
      <c r="H487" s="267"/>
      <c r="I487" s="287"/>
      <c r="J487" s="288">
        <f t="shared" si="99"/>
        <v>0</v>
      </c>
      <c r="K487" s="276" t="s">
        <v>1087</v>
      </c>
      <c r="L487" s="33">
        <v>1</v>
      </c>
      <c r="M487" s="157" t="s">
        <v>2056</v>
      </c>
      <c r="N487" s="157"/>
      <c r="O487" s="157" t="s">
        <v>520</v>
      </c>
      <c r="P487" s="163" t="s">
        <v>2058</v>
      </c>
    </row>
    <row r="488" s="92" customFormat="1" ht="20.1" customHeight="1" spans="1:16">
      <c r="A488" s="157" t="s">
        <v>2059</v>
      </c>
      <c r="B488" s="266" t="s">
        <v>2060</v>
      </c>
      <c r="C488" s="267">
        <v>0</v>
      </c>
      <c r="D488" s="268">
        <f t="shared" si="91"/>
        <v>0</v>
      </c>
      <c r="E488" s="267"/>
      <c r="F488" s="267"/>
      <c r="G488" s="267"/>
      <c r="H488" s="267"/>
      <c r="I488" s="287"/>
      <c r="J488" s="288">
        <f t="shared" si="99"/>
        <v>0</v>
      </c>
      <c r="K488" s="276" t="s">
        <v>1087</v>
      </c>
      <c r="L488" s="33">
        <v>1</v>
      </c>
      <c r="M488" s="157" t="s">
        <v>2059</v>
      </c>
      <c r="N488" s="157"/>
      <c r="O488" s="157" t="s">
        <v>520</v>
      </c>
      <c r="P488" s="163" t="s">
        <v>2061</v>
      </c>
    </row>
    <row r="489" s="93" customFormat="1" ht="20.1" customHeight="1" spans="1:16">
      <c r="A489" s="263" t="s">
        <v>521</v>
      </c>
      <c r="B489" s="297" t="s">
        <v>287</v>
      </c>
      <c r="C489" s="265">
        <f t="shared" ref="C489:I489" si="102">SUM(C490:C495)</f>
        <v>198</v>
      </c>
      <c r="D489" s="265">
        <f t="shared" si="91"/>
        <v>137</v>
      </c>
      <c r="E489" s="265">
        <f t="shared" si="102"/>
        <v>0</v>
      </c>
      <c r="F489" s="265">
        <f t="shared" si="102"/>
        <v>0</v>
      </c>
      <c r="G489" s="265">
        <f t="shared" si="102"/>
        <v>57</v>
      </c>
      <c r="H489" s="265">
        <f t="shared" si="102"/>
        <v>0</v>
      </c>
      <c r="I489" s="265">
        <f t="shared" si="102"/>
        <v>80</v>
      </c>
      <c r="J489" s="298">
        <f t="shared" si="99"/>
        <v>69.19</v>
      </c>
      <c r="K489" s="284" t="s">
        <v>1082</v>
      </c>
      <c r="L489" s="285"/>
      <c r="M489" s="263" t="s">
        <v>521</v>
      </c>
      <c r="N489" s="263" t="s">
        <v>514</v>
      </c>
      <c r="O489" s="263" t="s">
        <v>521</v>
      </c>
      <c r="P489" s="286" t="s">
        <v>2062</v>
      </c>
    </row>
    <row r="490" s="92" customFormat="1" ht="20.1" customHeight="1" spans="1:16">
      <c r="A490" s="157" t="s">
        <v>2063</v>
      </c>
      <c r="B490" s="266" t="s">
        <v>1990</v>
      </c>
      <c r="C490" s="267">
        <v>79</v>
      </c>
      <c r="D490" s="268">
        <f t="shared" si="91"/>
        <v>70</v>
      </c>
      <c r="E490" s="267"/>
      <c r="F490" s="267"/>
      <c r="G490" s="267"/>
      <c r="H490" s="267"/>
      <c r="I490" s="287">
        <v>70</v>
      </c>
      <c r="J490" s="288">
        <f t="shared" si="99"/>
        <v>88.61</v>
      </c>
      <c r="K490" s="276" t="s">
        <v>1087</v>
      </c>
      <c r="L490" s="33">
        <v>1</v>
      </c>
      <c r="M490" s="157" t="s">
        <v>2063</v>
      </c>
      <c r="N490" s="157"/>
      <c r="O490" s="157" t="s">
        <v>521</v>
      </c>
      <c r="P490" s="164" t="s">
        <v>1991</v>
      </c>
    </row>
    <row r="491" s="92" customFormat="1" ht="20.1" customHeight="1" spans="1:16">
      <c r="A491" s="157" t="s">
        <v>2064</v>
      </c>
      <c r="B491" s="269" t="s">
        <v>2065</v>
      </c>
      <c r="C491" s="267">
        <v>6</v>
      </c>
      <c r="D491" s="268">
        <f t="shared" si="91"/>
        <v>10</v>
      </c>
      <c r="E491" s="267"/>
      <c r="F491" s="267"/>
      <c r="G491" s="267"/>
      <c r="H491" s="267"/>
      <c r="I491" s="287">
        <v>10</v>
      </c>
      <c r="J491" s="288">
        <f t="shared" si="99"/>
        <v>166.67</v>
      </c>
      <c r="K491" s="276" t="s">
        <v>1087</v>
      </c>
      <c r="L491" s="33">
        <v>1</v>
      </c>
      <c r="M491" s="157" t="s">
        <v>2064</v>
      </c>
      <c r="N491" s="157"/>
      <c r="O491" s="157" t="s">
        <v>521</v>
      </c>
      <c r="P491" s="163" t="s">
        <v>2066</v>
      </c>
    </row>
    <row r="492" s="92" customFormat="1" ht="20.1" customHeight="1" spans="1:16">
      <c r="A492" s="157" t="s">
        <v>2067</v>
      </c>
      <c r="B492" s="269" t="s">
        <v>2068</v>
      </c>
      <c r="C492" s="267"/>
      <c r="D492" s="268">
        <f t="shared" si="91"/>
        <v>0</v>
      </c>
      <c r="E492" s="267"/>
      <c r="F492" s="267"/>
      <c r="G492" s="267"/>
      <c r="H492" s="267"/>
      <c r="I492" s="287"/>
      <c r="J492" s="288">
        <f t="shared" si="99"/>
        <v>0</v>
      </c>
      <c r="K492" s="276" t="s">
        <v>1087</v>
      </c>
      <c r="L492" s="33">
        <v>1</v>
      </c>
      <c r="M492" s="157" t="s">
        <v>2067</v>
      </c>
      <c r="N492" s="157"/>
      <c r="O492" s="157" t="s">
        <v>521</v>
      </c>
      <c r="P492" s="163" t="s">
        <v>2069</v>
      </c>
    </row>
    <row r="493" s="92" customFormat="1" ht="20.1" customHeight="1" spans="1:16">
      <c r="A493" s="157" t="s">
        <v>2070</v>
      </c>
      <c r="B493" s="269" t="s">
        <v>2071</v>
      </c>
      <c r="C493" s="267"/>
      <c r="D493" s="268">
        <f t="shared" si="91"/>
        <v>0</v>
      </c>
      <c r="E493" s="267"/>
      <c r="F493" s="267"/>
      <c r="G493" s="267"/>
      <c r="H493" s="267"/>
      <c r="I493" s="287"/>
      <c r="J493" s="288">
        <f t="shared" si="99"/>
        <v>0</v>
      </c>
      <c r="K493" s="276" t="s">
        <v>1087</v>
      </c>
      <c r="L493" s="33">
        <v>1</v>
      </c>
      <c r="M493" s="157" t="s">
        <v>2070</v>
      </c>
      <c r="N493" s="157"/>
      <c r="O493" s="157" t="s">
        <v>521</v>
      </c>
      <c r="P493" s="163" t="s">
        <v>2072</v>
      </c>
    </row>
    <row r="494" s="92" customFormat="1" ht="20.1" customHeight="1" spans="1:16">
      <c r="A494" s="157" t="s">
        <v>2073</v>
      </c>
      <c r="B494" s="266" t="s">
        <v>2074</v>
      </c>
      <c r="C494" s="267">
        <v>53</v>
      </c>
      <c r="D494" s="268">
        <f t="shared" si="91"/>
        <v>17</v>
      </c>
      <c r="E494" s="267"/>
      <c r="F494" s="267"/>
      <c r="G494" s="267">
        <v>17</v>
      </c>
      <c r="H494" s="267"/>
      <c r="I494" s="287"/>
      <c r="J494" s="288">
        <f t="shared" si="99"/>
        <v>32.08</v>
      </c>
      <c r="K494" s="276" t="s">
        <v>1087</v>
      </c>
      <c r="L494" s="33">
        <v>1</v>
      </c>
      <c r="M494" s="157" t="s">
        <v>2073</v>
      </c>
      <c r="N494" s="157"/>
      <c r="O494" s="157" t="s">
        <v>521</v>
      </c>
      <c r="P494" s="163" t="s">
        <v>2075</v>
      </c>
    </row>
    <row r="495" s="92" customFormat="1" ht="20.1" customHeight="1" spans="1:16">
      <c r="A495" s="157" t="s">
        <v>2076</v>
      </c>
      <c r="B495" s="266" t="s">
        <v>2077</v>
      </c>
      <c r="C495" s="267">
        <v>60</v>
      </c>
      <c r="D495" s="268">
        <f t="shared" si="91"/>
        <v>40</v>
      </c>
      <c r="E495" s="267"/>
      <c r="F495" s="267"/>
      <c r="G495" s="267">
        <v>40</v>
      </c>
      <c r="H495" s="267"/>
      <c r="I495" s="287"/>
      <c r="J495" s="288">
        <f t="shared" si="99"/>
        <v>66.67</v>
      </c>
      <c r="K495" s="276" t="s">
        <v>1087</v>
      </c>
      <c r="L495" s="33">
        <v>1</v>
      </c>
      <c r="M495" s="157" t="s">
        <v>2076</v>
      </c>
      <c r="N495" s="157"/>
      <c r="O495" s="157" t="s">
        <v>521</v>
      </c>
      <c r="P495" s="163" t="s">
        <v>2078</v>
      </c>
    </row>
    <row r="496" s="93" customFormat="1" ht="20.1" customHeight="1" spans="1:16">
      <c r="A496" s="263" t="s">
        <v>522</v>
      </c>
      <c r="B496" s="297" t="s">
        <v>288</v>
      </c>
      <c r="C496" s="265">
        <v>0</v>
      </c>
      <c r="D496" s="265">
        <f t="shared" si="91"/>
        <v>0</v>
      </c>
      <c r="E496" s="265">
        <f t="shared" ref="E496:H496" si="103">SUM(E497:E499)</f>
        <v>0</v>
      </c>
      <c r="F496" s="265">
        <f t="shared" si="103"/>
        <v>0</v>
      </c>
      <c r="G496" s="265">
        <f>VLOOKUP(A496,[1]√表四、2024年公共财政支出变动表!$A$7:$R$214,18,FALSE)</f>
        <v>0</v>
      </c>
      <c r="H496" s="265">
        <f t="shared" si="103"/>
        <v>0</v>
      </c>
      <c r="I496" s="265"/>
      <c r="J496" s="298">
        <f t="shared" si="99"/>
        <v>0</v>
      </c>
      <c r="K496" s="284" t="s">
        <v>1082</v>
      </c>
      <c r="L496" s="285"/>
      <c r="M496" s="263" t="s">
        <v>522</v>
      </c>
      <c r="N496" s="263" t="s">
        <v>514</v>
      </c>
      <c r="O496" s="263" t="s">
        <v>522</v>
      </c>
      <c r="P496" s="286" t="s">
        <v>2079</v>
      </c>
    </row>
    <row r="497" s="92" customFormat="1" ht="20.1" customHeight="1" spans="1:16">
      <c r="A497" s="157" t="s">
        <v>2080</v>
      </c>
      <c r="B497" s="269" t="s">
        <v>2081</v>
      </c>
      <c r="C497" s="267">
        <v>0</v>
      </c>
      <c r="D497" s="268">
        <f t="shared" si="91"/>
        <v>0</v>
      </c>
      <c r="E497" s="267"/>
      <c r="F497" s="267"/>
      <c r="G497" s="267"/>
      <c r="H497" s="267"/>
      <c r="I497" s="287"/>
      <c r="J497" s="288">
        <f t="shared" si="99"/>
        <v>0</v>
      </c>
      <c r="K497" s="276" t="s">
        <v>1087</v>
      </c>
      <c r="L497" s="33">
        <v>1</v>
      </c>
      <c r="M497" s="157" t="s">
        <v>2080</v>
      </c>
      <c r="N497" s="157"/>
      <c r="O497" s="157" t="s">
        <v>522</v>
      </c>
      <c r="P497" s="163" t="s">
        <v>2082</v>
      </c>
    </row>
    <row r="498" s="92" customFormat="1" ht="20.1" customHeight="1" spans="1:16">
      <c r="A498" s="157" t="s">
        <v>2083</v>
      </c>
      <c r="B498" s="269" t="s">
        <v>2084</v>
      </c>
      <c r="C498" s="267">
        <v>0</v>
      </c>
      <c r="D498" s="268">
        <f t="shared" si="91"/>
        <v>0</v>
      </c>
      <c r="E498" s="267"/>
      <c r="F498" s="267"/>
      <c r="G498" s="267"/>
      <c r="H498" s="267"/>
      <c r="I498" s="287"/>
      <c r="J498" s="288">
        <f t="shared" si="99"/>
        <v>0</v>
      </c>
      <c r="K498" s="276" t="s">
        <v>1087</v>
      </c>
      <c r="L498" s="33">
        <v>1</v>
      </c>
      <c r="M498" s="157" t="s">
        <v>2083</v>
      </c>
      <c r="N498" s="157"/>
      <c r="O498" s="157" t="s">
        <v>522</v>
      </c>
      <c r="P498" s="163" t="s">
        <v>2085</v>
      </c>
    </row>
    <row r="499" s="92" customFormat="1" ht="20.1" customHeight="1" spans="1:16">
      <c r="A499" s="157" t="s">
        <v>2086</v>
      </c>
      <c r="B499" s="269" t="s">
        <v>2087</v>
      </c>
      <c r="C499" s="267">
        <v>0</v>
      </c>
      <c r="D499" s="268">
        <f t="shared" si="91"/>
        <v>0</v>
      </c>
      <c r="E499" s="267"/>
      <c r="F499" s="267"/>
      <c r="G499" s="267"/>
      <c r="H499" s="267"/>
      <c r="I499" s="287"/>
      <c r="J499" s="288">
        <f t="shared" si="99"/>
        <v>0</v>
      </c>
      <c r="K499" s="276" t="s">
        <v>1087</v>
      </c>
      <c r="L499" s="33">
        <v>1</v>
      </c>
      <c r="M499" s="157" t="s">
        <v>2086</v>
      </c>
      <c r="N499" s="157"/>
      <c r="O499" s="157" t="s">
        <v>522</v>
      </c>
      <c r="P499" s="163" t="s">
        <v>2088</v>
      </c>
    </row>
    <row r="500" s="93" customFormat="1" ht="20.1" customHeight="1" spans="1:16">
      <c r="A500" s="263" t="s">
        <v>523</v>
      </c>
      <c r="B500" s="297" t="s">
        <v>289</v>
      </c>
      <c r="C500" s="265">
        <f t="shared" ref="C500:I500" si="104">SUM(C501:C503)</f>
        <v>0</v>
      </c>
      <c r="D500" s="265">
        <f t="shared" si="91"/>
        <v>0</v>
      </c>
      <c r="E500" s="265">
        <f t="shared" si="104"/>
        <v>0</v>
      </c>
      <c r="F500" s="265">
        <f t="shared" si="104"/>
        <v>0</v>
      </c>
      <c r="G500" s="265">
        <f t="shared" si="104"/>
        <v>0</v>
      </c>
      <c r="H500" s="265">
        <f t="shared" si="104"/>
        <v>0</v>
      </c>
      <c r="I500" s="265">
        <f t="shared" si="104"/>
        <v>0</v>
      </c>
      <c r="J500" s="298">
        <f t="shared" si="99"/>
        <v>0</v>
      </c>
      <c r="K500" s="284" t="s">
        <v>1082</v>
      </c>
      <c r="L500" s="285"/>
      <c r="M500" s="263" t="s">
        <v>523</v>
      </c>
      <c r="N500" s="263" t="s">
        <v>514</v>
      </c>
      <c r="O500" s="263" t="s">
        <v>523</v>
      </c>
      <c r="P500" s="286" t="s">
        <v>2089</v>
      </c>
    </row>
    <row r="501" s="92" customFormat="1" ht="20.1" customHeight="1" spans="1:16">
      <c r="A501" s="157" t="s">
        <v>2090</v>
      </c>
      <c r="B501" s="269" t="s">
        <v>2091</v>
      </c>
      <c r="C501" s="267"/>
      <c r="D501" s="268">
        <f t="shared" si="91"/>
        <v>0</v>
      </c>
      <c r="E501" s="267"/>
      <c r="F501" s="267"/>
      <c r="G501" s="267"/>
      <c r="H501" s="267"/>
      <c r="I501" s="287"/>
      <c r="J501" s="288">
        <f t="shared" si="99"/>
        <v>0</v>
      </c>
      <c r="K501" s="276" t="s">
        <v>1087</v>
      </c>
      <c r="L501" s="33">
        <v>1</v>
      </c>
      <c r="M501" s="157" t="s">
        <v>2090</v>
      </c>
      <c r="N501" s="157"/>
      <c r="O501" s="157" t="s">
        <v>523</v>
      </c>
      <c r="P501" s="163" t="s">
        <v>2092</v>
      </c>
    </row>
    <row r="502" s="92" customFormat="1" ht="20.1" customHeight="1" spans="1:16">
      <c r="A502" s="157" t="s">
        <v>2093</v>
      </c>
      <c r="B502" s="269" t="s">
        <v>2094</v>
      </c>
      <c r="C502" s="267">
        <v>0</v>
      </c>
      <c r="D502" s="268">
        <f t="shared" si="91"/>
        <v>0</v>
      </c>
      <c r="E502" s="267"/>
      <c r="F502" s="267"/>
      <c r="G502" s="267"/>
      <c r="H502" s="267"/>
      <c r="I502" s="287"/>
      <c r="J502" s="288">
        <f t="shared" si="99"/>
        <v>0</v>
      </c>
      <c r="K502" s="276" t="s">
        <v>1087</v>
      </c>
      <c r="L502" s="33">
        <v>1</v>
      </c>
      <c r="M502" s="157" t="s">
        <v>2093</v>
      </c>
      <c r="N502" s="157"/>
      <c r="O502" s="157" t="s">
        <v>523</v>
      </c>
      <c r="P502" s="163" t="s">
        <v>2095</v>
      </c>
    </row>
    <row r="503" s="92" customFormat="1" ht="20.1" customHeight="1" spans="1:16">
      <c r="A503" s="157" t="s">
        <v>2096</v>
      </c>
      <c r="B503" s="269" t="s">
        <v>2097</v>
      </c>
      <c r="C503" s="267">
        <v>0</v>
      </c>
      <c r="D503" s="268">
        <f t="shared" si="91"/>
        <v>0</v>
      </c>
      <c r="E503" s="267"/>
      <c r="F503" s="267"/>
      <c r="G503" s="267"/>
      <c r="H503" s="267"/>
      <c r="I503" s="287"/>
      <c r="J503" s="288">
        <f t="shared" si="99"/>
        <v>0</v>
      </c>
      <c r="K503" s="276" t="s">
        <v>1087</v>
      </c>
      <c r="L503" s="33">
        <v>1</v>
      </c>
      <c r="M503" s="157" t="s">
        <v>2096</v>
      </c>
      <c r="N503" s="157"/>
      <c r="O503" s="157" t="s">
        <v>523</v>
      </c>
      <c r="P503" s="163" t="s">
        <v>2098</v>
      </c>
    </row>
    <row r="504" s="93" customFormat="1" ht="20.1" customHeight="1" spans="1:16">
      <c r="A504" s="263" t="s">
        <v>524</v>
      </c>
      <c r="B504" s="297" t="s">
        <v>290</v>
      </c>
      <c r="C504" s="265">
        <v>0</v>
      </c>
      <c r="D504" s="265">
        <f t="shared" ref="D504:I504" si="105">SUM(D505:D508)</f>
        <v>3</v>
      </c>
      <c r="E504" s="265">
        <f t="shared" si="105"/>
        <v>0</v>
      </c>
      <c r="F504" s="265">
        <f t="shared" si="105"/>
        <v>0</v>
      </c>
      <c r="G504" s="265">
        <f t="shared" si="105"/>
        <v>0</v>
      </c>
      <c r="H504" s="265">
        <f t="shared" si="105"/>
        <v>0</v>
      </c>
      <c r="I504" s="265">
        <f t="shared" si="105"/>
        <v>3</v>
      </c>
      <c r="J504" s="298">
        <f t="shared" si="99"/>
        <v>100</v>
      </c>
      <c r="K504" s="284" t="s">
        <v>1082</v>
      </c>
      <c r="L504" s="285"/>
      <c r="M504" s="263" t="s">
        <v>524</v>
      </c>
      <c r="N504" s="263" t="s">
        <v>514</v>
      </c>
      <c r="O504" s="263" t="s">
        <v>524</v>
      </c>
      <c r="P504" s="286" t="s">
        <v>2099</v>
      </c>
    </row>
    <row r="505" s="92" customFormat="1" ht="20.1" customHeight="1" spans="1:16">
      <c r="A505" s="157" t="s">
        <v>2100</v>
      </c>
      <c r="B505" s="266" t="s">
        <v>2101</v>
      </c>
      <c r="C505" s="267">
        <v>0</v>
      </c>
      <c r="D505" s="268">
        <f t="shared" ref="D505:D568" si="106">SUM(E505:I505)</f>
        <v>0</v>
      </c>
      <c r="E505" s="267"/>
      <c r="F505" s="267"/>
      <c r="G505" s="267"/>
      <c r="H505" s="267"/>
      <c r="I505" s="287"/>
      <c r="J505" s="288">
        <f t="shared" si="99"/>
        <v>0</v>
      </c>
      <c r="K505" s="276" t="s">
        <v>1087</v>
      </c>
      <c r="L505" s="33">
        <v>1</v>
      </c>
      <c r="M505" s="157" t="s">
        <v>2100</v>
      </c>
      <c r="N505" s="157"/>
      <c r="O505" s="157" t="s">
        <v>524</v>
      </c>
      <c r="P505" s="163" t="s">
        <v>2102</v>
      </c>
    </row>
    <row r="506" s="92" customFormat="1" ht="20.1" customHeight="1" spans="1:16">
      <c r="A506" s="157" t="s">
        <v>2103</v>
      </c>
      <c r="B506" s="269" t="s">
        <v>2104</v>
      </c>
      <c r="C506" s="267">
        <v>0</v>
      </c>
      <c r="D506" s="268">
        <f t="shared" si="106"/>
        <v>0</v>
      </c>
      <c r="E506" s="267"/>
      <c r="F506" s="267"/>
      <c r="G506" s="267"/>
      <c r="H506" s="267"/>
      <c r="I506" s="287"/>
      <c r="J506" s="288">
        <f t="shared" si="99"/>
        <v>0</v>
      </c>
      <c r="K506" s="276" t="s">
        <v>1087</v>
      </c>
      <c r="L506" s="33">
        <v>1</v>
      </c>
      <c r="M506" s="157" t="s">
        <v>2103</v>
      </c>
      <c r="N506" s="157"/>
      <c r="O506" s="157" t="s">
        <v>524</v>
      </c>
      <c r="P506" s="163" t="s">
        <v>2105</v>
      </c>
    </row>
    <row r="507" s="92" customFormat="1" ht="20.1" customHeight="1" spans="1:16">
      <c r="A507" s="157" t="s">
        <v>2106</v>
      </c>
      <c r="B507" s="269" t="s">
        <v>2107</v>
      </c>
      <c r="C507" s="267">
        <v>0</v>
      </c>
      <c r="D507" s="268">
        <f t="shared" si="106"/>
        <v>0</v>
      </c>
      <c r="E507" s="267"/>
      <c r="F507" s="267"/>
      <c r="G507" s="267"/>
      <c r="H507" s="267"/>
      <c r="I507" s="287"/>
      <c r="J507" s="288">
        <f t="shared" si="99"/>
        <v>0</v>
      </c>
      <c r="K507" s="276" t="s">
        <v>1087</v>
      </c>
      <c r="L507" s="33">
        <v>1</v>
      </c>
      <c r="M507" s="157" t="s">
        <v>2106</v>
      </c>
      <c r="N507" s="157"/>
      <c r="O507" s="157" t="s">
        <v>524</v>
      </c>
      <c r="P507" s="163" t="s">
        <v>2108</v>
      </c>
    </row>
    <row r="508" s="92" customFormat="1" ht="20.1" customHeight="1" spans="1:16">
      <c r="A508" s="157" t="s">
        <v>2109</v>
      </c>
      <c r="B508" s="269" t="s">
        <v>2110</v>
      </c>
      <c r="C508" s="267">
        <v>0</v>
      </c>
      <c r="D508" s="268">
        <f t="shared" si="106"/>
        <v>3</v>
      </c>
      <c r="E508" s="267"/>
      <c r="F508" s="267"/>
      <c r="G508" s="267"/>
      <c r="H508" s="267"/>
      <c r="I508" s="287">
        <v>3</v>
      </c>
      <c r="J508" s="288">
        <f t="shared" si="99"/>
        <v>100</v>
      </c>
      <c r="K508" s="276" t="s">
        <v>1087</v>
      </c>
      <c r="L508" s="33">
        <v>1</v>
      </c>
      <c r="M508" s="157" t="s">
        <v>2109</v>
      </c>
      <c r="N508" s="157"/>
      <c r="O508" s="157" t="s">
        <v>524</v>
      </c>
      <c r="P508" s="163" t="s">
        <v>2099</v>
      </c>
    </row>
    <row r="509" s="93" customFormat="1" ht="20.1" customHeight="1" spans="1:16">
      <c r="A509" s="154" t="s">
        <v>525</v>
      </c>
      <c r="B509" s="261" t="s">
        <v>291</v>
      </c>
      <c r="C509" s="262">
        <f t="shared" ref="C509:I509" si="107">C510+C526+C534+C545+C554+C562</f>
        <v>2181</v>
      </c>
      <c r="D509" s="262">
        <f t="shared" si="106"/>
        <v>4949</v>
      </c>
      <c r="E509" s="262">
        <f t="shared" si="107"/>
        <v>94</v>
      </c>
      <c r="F509" s="262">
        <f t="shared" si="107"/>
        <v>0</v>
      </c>
      <c r="G509" s="262">
        <f t="shared" si="107"/>
        <v>3487</v>
      </c>
      <c r="H509" s="262">
        <f t="shared" si="107"/>
        <v>0</v>
      </c>
      <c r="I509" s="262">
        <f t="shared" si="107"/>
        <v>1368</v>
      </c>
      <c r="J509" s="279">
        <f t="shared" si="99"/>
        <v>226.91</v>
      </c>
      <c r="K509" s="280" t="s">
        <v>1081</v>
      </c>
      <c r="L509" s="281"/>
      <c r="M509" s="154" t="s">
        <v>525</v>
      </c>
      <c r="N509" s="154" t="s">
        <v>525</v>
      </c>
      <c r="O509" s="154" t="s">
        <v>525</v>
      </c>
      <c r="P509" s="282" t="s">
        <v>2111</v>
      </c>
    </row>
    <row r="510" s="93" customFormat="1" ht="20.1" customHeight="1" spans="1:16">
      <c r="A510" s="263" t="s">
        <v>526</v>
      </c>
      <c r="B510" s="297" t="s">
        <v>292</v>
      </c>
      <c r="C510" s="265">
        <f t="shared" ref="C510:I510" si="108">SUM(C511:C525)</f>
        <v>1670</v>
      </c>
      <c r="D510" s="265">
        <f t="shared" si="106"/>
        <v>4165</v>
      </c>
      <c r="E510" s="265">
        <f t="shared" si="108"/>
        <v>94</v>
      </c>
      <c r="F510" s="265">
        <f t="shared" si="108"/>
        <v>0</v>
      </c>
      <c r="G510" s="265">
        <f t="shared" si="108"/>
        <v>3206</v>
      </c>
      <c r="H510" s="265">
        <f t="shared" si="108"/>
        <v>0</v>
      </c>
      <c r="I510" s="265">
        <f t="shared" si="108"/>
        <v>865</v>
      </c>
      <c r="J510" s="298">
        <f t="shared" si="99"/>
        <v>249.4</v>
      </c>
      <c r="K510" s="284" t="s">
        <v>1082</v>
      </c>
      <c r="L510" s="285"/>
      <c r="M510" s="263" t="s">
        <v>526</v>
      </c>
      <c r="N510" s="263" t="s">
        <v>525</v>
      </c>
      <c r="O510" s="263" t="s">
        <v>526</v>
      </c>
      <c r="P510" s="286" t="s">
        <v>2112</v>
      </c>
    </row>
    <row r="511" s="92" customFormat="1" ht="20.1" customHeight="1" spans="1:16">
      <c r="A511" s="157" t="s">
        <v>2113</v>
      </c>
      <c r="B511" s="36" t="s">
        <v>1086</v>
      </c>
      <c r="C511" s="267">
        <v>592</v>
      </c>
      <c r="D511" s="268">
        <f t="shared" si="106"/>
        <v>586</v>
      </c>
      <c r="E511" s="267"/>
      <c r="F511" s="267"/>
      <c r="G511" s="267"/>
      <c r="H511" s="267"/>
      <c r="I511" s="287">
        <v>586</v>
      </c>
      <c r="J511" s="288">
        <f t="shared" si="99"/>
        <v>98.99</v>
      </c>
      <c r="K511" s="276" t="s">
        <v>1087</v>
      </c>
      <c r="L511" s="33">
        <v>1</v>
      </c>
      <c r="M511" s="157" t="s">
        <v>2113</v>
      </c>
      <c r="N511" s="157"/>
      <c r="O511" s="157" t="s">
        <v>526</v>
      </c>
      <c r="P511" s="164" t="s">
        <v>1088</v>
      </c>
    </row>
    <row r="512" s="92" customFormat="1" ht="20.1" customHeight="1" spans="1:16">
      <c r="A512" s="157" t="s">
        <v>2114</v>
      </c>
      <c r="B512" s="36" t="s">
        <v>1090</v>
      </c>
      <c r="C512" s="267"/>
      <c r="D512" s="268">
        <f t="shared" si="106"/>
        <v>0</v>
      </c>
      <c r="E512" s="267"/>
      <c r="F512" s="267"/>
      <c r="G512" s="267"/>
      <c r="H512" s="267"/>
      <c r="I512" s="287"/>
      <c r="J512" s="288">
        <f t="shared" si="99"/>
        <v>0</v>
      </c>
      <c r="K512" s="276" t="s">
        <v>1087</v>
      </c>
      <c r="L512" s="33">
        <v>1</v>
      </c>
      <c r="M512" s="157" t="s">
        <v>2114</v>
      </c>
      <c r="N512" s="157"/>
      <c r="O512" s="157" t="s">
        <v>526</v>
      </c>
      <c r="P512" s="164" t="s">
        <v>1091</v>
      </c>
    </row>
    <row r="513" s="92" customFormat="1" ht="20.1" customHeight="1" spans="1:16">
      <c r="A513" s="157" t="s">
        <v>2115</v>
      </c>
      <c r="B513" s="36" t="s">
        <v>1093</v>
      </c>
      <c r="C513" s="267"/>
      <c r="D513" s="268">
        <f t="shared" si="106"/>
        <v>0</v>
      </c>
      <c r="E513" s="267"/>
      <c r="F513" s="267"/>
      <c r="G513" s="267"/>
      <c r="H513" s="267"/>
      <c r="I513" s="287"/>
      <c r="J513" s="288">
        <f t="shared" si="99"/>
        <v>0</v>
      </c>
      <c r="K513" s="276" t="s">
        <v>1087</v>
      </c>
      <c r="L513" s="33">
        <v>1</v>
      </c>
      <c r="M513" s="157" t="s">
        <v>2115</v>
      </c>
      <c r="N513" s="157"/>
      <c r="O513" s="157" t="s">
        <v>526</v>
      </c>
      <c r="P513" s="164" t="s">
        <v>1094</v>
      </c>
    </row>
    <row r="514" s="92" customFormat="1" ht="20.1" customHeight="1" spans="1:16">
      <c r="A514" s="157" t="s">
        <v>2116</v>
      </c>
      <c r="B514" s="36" t="s">
        <v>2117</v>
      </c>
      <c r="C514" s="267">
        <v>18</v>
      </c>
      <c r="D514" s="268">
        <f t="shared" si="106"/>
        <v>22</v>
      </c>
      <c r="E514" s="267"/>
      <c r="F514" s="267"/>
      <c r="G514" s="267"/>
      <c r="H514" s="267"/>
      <c r="I514" s="287">
        <v>22</v>
      </c>
      <c r="J514" s="288">
        <f t="shared" si="99"/>
        <v>122.22</v>
      </c>
      <c r="K514" s="276" t="s">
        <v>1087</v>
      </c>
      <c r="L514" s="33">
        <v>1</v>
      </c>
      <c r="M514" s="157" t="s">
        <v>2116</v>
      </c>
      <c r="N514" s="157"/>
      <c r="O514" s="157" t="s">
        <v>526</v>
      </c>
      <c r="P514" s="163" t="s">
        <v>2118</v>
      </c>
    </row>
    <row r="515" s="92" customFormat="1" ht="20.1" customHeight="1" spans="1:16">
      <c r="A515" s="157" t="s">
        <v>2119</v>
      </c>
      <c r="B515" s="36" t="s">
        <v>2120</v>
      </c>
      <c r="C515" s="267"/>
      <c r="D515" s="268">
        <f t="shared" si="106"/>
        <v>0</v>
      </c>
      <c r="E515" s="267"/>
      <c r="F515" s="267"/>
      <c r="G515" s="267"/>
      <c r="H515" s="267"/>
      <c r="I515" s="287"/>
      <c r="J515" s="288">
        <f t="shared" si="99"/>
        <v>0</v>
      </c>
      <c r="K515" s="276" t="s">
        <v>1087</v>
      </c>
      <c r="L515" s="33">
        <v>1</v>
      </c>
      <c r="M515" s="157" t="s">
        <v>2119</v>
      </c>
      <c r="N515" s="157"/>
      <c r="O515" s="157" t="s">
        <v>526</v>
      </c>
      <c r="P515" s="163" t="s">
        <v>2121</v>
      </c>
    </row>
    <row r="516" s="92" customFormat="1" ht="20.1" customHeight="1" spans="1:16">
      <c r="A516" s="157" t="s">
        <v>2122</v>
      </c>
      <c r="B516" s="36" t="s">
        <v>2123</v>
      </c>
      <c r="C516" s="267"/>
      <c r="D516" s="268">
        <f t="shared" si="106"/>
        <v>0</v>
      </c>
      <c r="E516" s="267"/>
      <c r="F516" s="267"/>
      <c r="G516" s="267"/>
      <c r="H516" s="267"/>
      <c r="I516" s="287"/>
      <c r="J516" s="288">
        <f t="shared" si="99"/>
        <v>0</v>
      </c>
      <c r="K516" s="276" t="s">
        <v>1087</v>
      </c>
      <c r="L516" s="33">
        <v>1</v>
      </c>
      <c r="M516" s="157" t="s">
        <v>2122</v>
      </c>
      <c r="N516" s="157"/>
      <c r="O516" s="157" t="s">
        <v>526</v>
      </c>
      <c r="P516" s="163" t="s">
        <v>2124</v>
      </c>
    </row>
    <row r="517" s="92" customFormat="1" ht="20.1" customHeight="1" spans="1:16">
      <c r="A517" s="157" t="s">
        <v>2125</v>
      </c>
      <c r="B517" s="36" t="s">
        <v>2126</v>
      </c>
      <c r="C517" s="267"/>
      <c r="D517" s="268">
        <f t="shared" si="106"/>
        <v>0</v>
      </c>
      <c r="E517" s="267"/>
      <c r="F517" s="267"/>
      <c r="G517" s="267"/>
      <c r="H517" s="267"/>
      <c r="I517" s="287"/>
      <c r="J517" s="288">
        <f t="shared" si="99"/>
        <v>0</v>
      </c>
      <c r="K517" s="276" t="s">
        <v>1087</v>
      </c>
      <c r="L517" s="33">
        <v>1</v>
      </c>
      <c r="M517" s="157" t="s">
        <v>2125</v>
      </c>
      <c r="N517" s="157"/>
      <c r="O517" s="157" t="s">
        <v>526</v>
      </c>
      <c r="P517" s="163" t="s">
        <v>2127</v>
      </c>
    </row>
    <row r="518" s="92" customFormat="1" ht="20.1" customHeight="1" spans="1:16">
      <c r="A518" s="157" t="s">
        <v>2128</v>
      </c>
      <c r="B518" s="36" t="s">
        <v>2129</v>
      </c>
      <c r="C518" s="267"/>
      <c r="D518" s="268">
        <f t="shared" si="106"/>
        <v>0</v>
      </c>
      <c r="E518" s="267"/>
      <c r="F518" s="267"/>
      <c r="G518" s="267"/>
      <c r="H518" s="267"/>
      <c r="I518" s="287"/>
      <c r="J518" s="288">
        <f t="shared" si="99"/>
        <v>0</v>
      </c>
      <c r="K518" s="276" t="s">
        <v>1087</v>
      </c>
      <c r="L518" s="33">
        <v>1</v>
      </c>
      <c r="M518" s="157" t="s">
        <v>2128</v>
      </c>
      <c r="N518" s="157"/>
      <c r="O518" s="157" t="s">
        <v>526</v>
      </c>
      <c r="P518" s="163" t="s">
        <v>2130</v>
      </c>
    </row>
    <row r="519" s="92" customFormat="1" ht="20.1" customHeight="1" spans="1:16">
      <c r="A519" s="157" t="s">
        <v>2131</v>
      </c>
      <c r="B519" s="36" t="s">
        <v>2132</v>
      </c>
      <c r="C519" s="267">
        <v>228</v>
      </c>
      <c r="D519" s="268">
        <f t="shared" si="106"/>
        <v>81</v>
      </c>
      <c r="E519" s="267"/>
      <c r="F519" s="267"/>
      <c r="G519" s="267"/>
      <c r="H519" s="267"/>
      <c r="I519" s="287">
        <v>81</v>
      </c>
      <c r="J519" s="288">
        <f t="shared" si="99"/>
        <v>35.53</v>
      </c>
      <c r="K519" s="276" t="s">
        <v>1087</v>
      </c>
      <c r="L519" s="33">
        <v>1</v>
      </c>
      <c r="M519" s="157" t="s">
        <v>2131</v>
      </c>
      <c r="N519" s="157"/>
      <c r="O519" s="157" t="s">
        <v>526</v>
      </c>
      <c r="P519" s="163" t="s">
        <v>2133</v>
      </c>
    </row>
    <row r="520" s="92" customFormat="1" ht="20.1" customHeight="1" spans="1:16">
      <c r="A520" s="157" t="s">
        <v>2134</v>
      </c>
      <c r="B520" s="36" t="s">
        <v>2135</v>
      </c>
      <c r="C520" s="267"/>
      <c r="D520" s="268">
        <f t="shared" si="106"/>
        <v>0</v>
      </c>
      <c r="E520" s="267"/>
      <c r="F520" s="267"/>
      <c r="G520" s="267"/>
      <c r="H520" s="267"/>
      <c r="I520" s="287"/>
      <c r="J520" s="288">
        <f t="shared" si="99"/>
        <v>0</v>
      </c>
      <c r="K520" s="276" t="s">
        <v>1087</v>
      </c>
      <c r="L520" s="33">
        <v>1</v>
      </c>
      <c r="M520" s="157" t="s">
        <v>2134</v>
      </c>
      <c r="N520" s="157"/>
      <c r="O520" s="157" t="s">
        <v>526</v>
      </c>
      <c r="P520" s="164" t="s">
        <v>2136</v>
      </c>
    </row>
    <row r="521" s="92" customFormat="1" ht="20.1" customHeight="1" spans="1:16">
      <c r="A521" s="157" t="s">
        <v>2137</v>
      </c>
      <c r="B521" s="36" t="s">
        <v>2138</v>
      </c>
      <c r="C521" s="267">
        <v>34</v>
      </c>
      <c r="D521" s="268">
        <f t="shared" si="106"/>
        <v>91</v>
      </c>
      <c r="E521" s="267"/>
      <c r="F521" s="267"/>
      <c r="G521" s="267">
        <v>91</v>
      </c>
      <c r="H521" s="267"/>
      <c r="I521" s="287"/>
      <c r="J521" s="288">
        <f t="shared" si="99"/>
        <v>267.65</v>
      </c>
      <c r="K521" s="276" t="s">
        <v>1087</v>
      </c>
      <c r="L521" s="33">
        <v>1</v>
      </c>
      <c r="M521" s="157" t="s">
        <v>2137</v>
      </c>
      <c r="N521" s="157"/>
      <c r="O521" s="157" t="s">
        <v>526</v>
      </c>
      <c r="P521" s="164" t="s">
        <v>2139</v>
      </c>
    </row>
    <row r="522" s="92" customFormat="1" ht="20.1" customHeight="1" spans="1:16">
      <c r="A522" s="157" t="s">
        <v>2140</v>
      </c>
      <c r="B522" s="36" t="s">
        <v>2141</v>
      </c>
      <c r="C522" s="267">
        <v>6</v>
      </c>
      <c r="D522" s="268">
        <f t="shared" si="106"/>
        <v>0</v>
      </c>
      <c r="E522" s="267"/>
      <c r="F522" s="267"/>
      <c r="G522" s="267"/>
      <c r="H522" s="267"/>
      <c r="I522" s="287"/>
      <c r="J522" s="288">
        <f t="shared" si="99"/>
        <v>-100</v>
      </c>
      <c r="K522" s="276" t="s">
        <v>1087</v>
      </c>
      <c r="L522" s="33">
        <v>1</v>
      </c>
      <c r="M522" s="157" t="s">
        <v>2140</v>
      </c>
      <c r="N522" s="157"/>
      <c r="O522" s="157" t="s">
        <v>526</v>
      </c>
      <c r="P522" s="164" t="s">
        <v>2142</v>
      </c>
    </row>
    <row r="523" s="92" customFormat="1" ht="20.1" customHeight="1" spans="1:16">
      <c r="A523" s="157" t="s">
        <v>2143</v>
      </c>
      <c r="B523" s="36" t="s">
        <v>2144</v>
      </c>
      <c r="C523" s="267"/>
      <c r="D523" s="268">
        <f t="shared" si="106"/>
        <v>0</v>
      </c>
      <c r="E523" s="267"/>
      <c r="F523" s="267"/>
      <c r="G523" s="267"/>
      <c r="H523" s="267"/>
      <c r="I523" s="287"/>
      <c r="J523" s="288">
        <f t="shared" si="99"/>
        <v>0</v>
      </c>
      <c r="K523" s="276" t="s">
        <v>1087</v>
      </c>
      <c r="L523" s="33">
        <v>1</v>
      </c>
      <c r="M523" s="157" t="s">
        <v>2143</v>
      </c>
      <c r="N523" s="157"/>
      <c r="O523" s="157" t="s">
        <v>526</v>
      </c>
      <c r="P523" s="164" t="s">
        <v>2145</v>
      </c>
    </row>
    <row r="524" s="92" customFormat="1" ht="20.1" customHeight="1" spans="1:16">
      <c r="A524" s="157" t="s">
        <v>2146</v>
      </c>
      <c r="B524" s="36" t="s">
        <v>2147</v>
      </c>
      <c r="C524" s="267">
        <v>117</v>
      </c>
      <c r="D524" s="268">
        <f t="shared" si="106"/>
        <v>112</v>
      </c>
      <c r="E524" s="267"/>
      <c r="F524" s="267"/>
      <c r="G524" s="267"/>
      <c r="H524" s="267"/>
      <c r="I524" s="287">
        <v>112</v>
      </c>
      <c r="J524" s="288">
        <f t="shared" si="99"/>
        <v>95.73</v>
      </c>
      <c r="K524" s="276" t="s">
        <v>1087</v>
      </c>
      <c r="L524" s="33">
        <v>1</v>
      </c>
      <c r="M524" s="157" t="s">
        <v>2146</v>
      </c>
      <c r="N524" s="157"/>
      <c r="O524" s="157" t="s">
        <v>526</v>
      </c>
      <c r="P524" s="164" t="s">
        <v>2148</v>
      </c>
    </row>
    <row r="525" s="92" customFormat="1" ht="20.1" customHeight="1" spans="1:16">
      <c r="A525" s="157" t="s">
        <v>2149</v>
      </c>
      <c r="B525" s="36" t="s">
        <v>2150</v>
      </c>
      <c r="C525" s="267">
        <v>675</v>
      </c>
      <c r="D525" s="268">
        <f t="shared" si="106"/>
        <v>3273</v>
      </c>
      <c r="E525" s="267">
        <v>94</v>
      </c>
      <c r="F525" s="267"/>
      <c r="G525" s="267">
        <v>3115</v>
      </c>
      <c r="H525" s="267"/>
      <c r="I525" s="287">
        <v>64</v>
      </c>
      <c r="J525" s="288">
        <f t="shared" si="99"/>
        <v>484.89</v>
      </c>
      <c r="K525" s="276" t="s">
        <v>1087</v>
      </c>
      <c r="L525" s="33">
        <v>1</v>
      </c>
      <c r="M525" s="157" t="s">
        <v>2149</v>
      </c>
      <c r="N525" s="157"/>
      <c r="O525" s="157" t="s">
        <v>526</v>
      </c>
      <c r="P525" s="164" t="s">
        <v>2151</v>
      </c>
    </row>
    <row r="526" s="93" customFormat="1" ht="20.1" customHeight="1" spans="1:16">
      <c r="A526" s="263" t="s">
        <v>527</v>
      </c>
      <c r="B526" s="297" t="s">
        <v>293</v>
      </c>
      <c r="C526" s="265">
        <f t="shared" ref="C526:I526" si="109">SUM(C527:C533)</f>
        <v>71</v>
      </c>
      <c r="D526" s="265">
        <f t="shared" si="106"/>
        <v>183</v>
      </c>
      <c r="E526" s="265">
        <f t="shared" si="109"/>
        <v>0</v>
      </c>
      <c r="F526" s="265">
        <f t="shared" si="109"/>
        <v>0</v>
      </c>
      <c r="G526" s="265">
        <f t="shared" si="109"/>
        <v>155</v>
      </c>
      <c r="H526" s="265">
        <f t="shared" si="109"/>
        <v>0</v>
      </c>
      <c r="I526" s="265">
        <f t="shared" si="109"/>
        <v>28</v>
      </c>
      <c r="J526" s="298">
        <f t="shared" si="99"/>
        <v>257.75</v>
      </c>
      <c r="K526" s="284" t="s">
        <v>1082</v>
      </c>
      <c r="L526" s="285"/>
      <c r="M526" s="263" t="s">
        <v>527</v>
      </c>
      <c r="N526" s="263" t="s">
        <v>525</v>
      </c>
      <c r="O526" s="263" t="s">
        <v>527</v>
      </c>
      <c r="P526" s="286" t="s">
        <v>2152</v>
      </c>
    </row>
    <row r="527" s="92" customFormat="1" ht="20.1" customHeight="1" spans="1:16">
      <c r="A527" s="157" t="s">
        <v>2153</v>
      </c>
      <c r="B527" s="36" t="s">
        <v>1086</v>
      </c>
      <c r="C527" s="267"/>
      <c r="D527" s="268">
        <f t="shared" si="106"/>
        <v>0</v>
      </c>
      <c r="E527" s="267"/>
      <c r="F527" s="267"/>
      <c r="G527" s="267"/>
      <c r="H527" s="267"/>
      <c r="I527" s="287"/>
      <c r="J527" s="288">
        <f t="shared" si="99"/>
        <v>0</v>
      </c>
      <c r="K527" s="276" t="s">
        <v>1087</v>
      </c>
      <c r="L527" s="33">
        <v>1</v>
      </c>
      <c r="M527" s="157" t="s">
        <v>2153</v>
      </c>
      <c r="N527" s="157"/>
      <c r="O527" s="157" t="s">
        <v>527</v>
      </c>
      <c r="P527" s="164" t="s">
        <v>1088</v>
      </c>
    </row>
    <row r="528" s="92" customFormat="1" ht="20.1" customHeight="1" spans="1:16">
      <c r="A528" s="157" t="s">
        <v>2154</v>
      </c>
      <c r="B528" s="36" t="s">
        <v>1090</v>
      </c>
      <c r="C528" s="267"/>
      <c r="D528" s="268">
        <f t="shared" si="106"/>
        <v>0</v>
      </c>
      <c r="E528" s="267"/>
      <c r="F528" s="267"/>
      <c r="G528" s="267"/>
      <c r="H528" s="267"/>
      <c r="I528" s="287"/>
      <c r="J528" s="288">
        <f t="shared" si="99"/>
        <v>0</v>
      </c>
      <c r="K528" s="276" t="s">
        <v>1087</v>
      </c>
      <c r="L528" s="33">
        <v>1</v>
      </c>
      <c r="M528" s="157" t="s">
        <v>2154</v>
      </c>
      <c r="N528" s="157"/>
      <c r="O528" s="157" t="s">
        <v>527</v>
      </c>
      <c r="P528" s="164" t="s">
        <v>1091</v>
      </c>
    </row>
    <row r="529" s="92" customFormat="1" ht="20.1" customHeight="1" spans="1:16">
      <c r="A529" s="157" t="s">
        <v>2155</v>
      </c>
      <c r="B529" s="36" t="s">
        <v>1093</v>
      </c>
      <c r="C529" s="267"/>
      <c r="D529" s="268">
        <f t="shared" si="106"/>
        <v>0</v>
      </c>
      <c r="E529" s="267"/>
      <c r="F529" s="267"/>
      <c r="G529" s="267"/>
      <c r="H529" s="267"/>
      <c r="I529" s="287"/>
      <c r="J529" s="288">
        <f t="shared" si="99"/>
        <v>0</v>
      </c>
      <c r="K529" s="276" t="s">
        <v>1087</v>
      </c>
      <c r="L529" s="33">
        <v>1</v>
      </c>
      <c r="M529" s="157" t="s">
        <v>2155</v>
      </c>
      <c r="N529" s="157"/>
      <c r="O529" s="157" t="s">
        <v>527</v>
      </c>
      <c r="P529" s="164" t="s">
        <v>1094</v>
      </c>
    </row>
    <row r="530" s="92" customFormat="1" ht="20.1" customHeight="1" spans="1:16">
      <c r="A530" s="157" t="s">
        <v>2156</v>
      </c>
      <c r="B530" s="36" t="s">
        <v>2157</v>
      </c>
      <c r="C530" s="267">
        <v>49</v>
      </c>
      <c r="D530" s="268">
        <f t="shared" si="106"/>
        <v>155</v>
      </c>
      <c r="E530" s="267"/>
      <c r="F530" s="267"/>
      <c r="G530" s="267">
        <v>155</v>
      </c>
      <c r="H530" s="267"/>
      <c r="I530" s="287"/>
      <c r="J530" s="288">
        <f t="shared" si="99"/>
        <v>316.33</v>
      </c>
      <c r="K530" s="276" t="s">
        <v>1087</v>
      </c>
      <c r="L530" s="33">
        <v>1</v>
      </c>
      <c r="M530" s="157" t="s">
        <v>2156</v>
      </c>
      <c r="N530" s="157"/>
      <c r="O530" s="157" t="s">
        <v>527</v>
      </c>
      <c r="P530" s="163" t="s">
        <v>2158</v>
      </c>
    </row>
    <row r="531" s="92" customFormat="1" ht="20.1" customHeight="1" spans="1:16">
      <c r="A531" s="157" t="s">
        <v>2159</v>
      </c>
      <c r="B531" s="36" t="s">
        <v>2160</v>
      </c>
      <c r="C531" s="267">
        <v>22</v>
      </c>
      <c r="D531" s="268">
        <f t="shared" si="106"/>
        <v>28</v>
      </c>
      <c r="E531" s="267"/>
      <c r="F531" s="267"/>
      <c r="G531" s="267"/>
      <c r="H531" s="267"/>
      <c r="I531" s="287">
        <v>28</v>
      </c>
      <c r="J531" s="288">
        <f t="shared" si="99"/>
        <v>127.27</v>
      </c>
      <c r="K531" s="276" t="s">
        <v>1087</v>
      </c>
      <c r="L531" s="33">
        <v>1</v>
      </c>
      <c r="M531" s="157" t="s">
        <v>2159</v>
      </c>
      <c r="N531" s="157"/>
      <c r="O531" s="157" t="s">
        <v>527</v>
      </c>
      <c r="P531" s="163" t="s">
        <v>2161</v>
      </c>
    </row>
    <row r="532" s="92" customFormat="1" ht="20.1" customHeight="1" spans="1:16">
      <c r="A532" s="157" t="s">
        <v>2162</v>
      </c>
      <c r="B532" s="36" t="s">
        <v>2163</v>
      </c>
      <c r="C532" s="267"/>
      <c r="D532" s="268">
        <f t="shared" si="106"/>
        <v>0</v>
      </c>
      <c r="E532" s="267"/>
      <c r="F532" s="267"/>
      <c r="G532" s="267"/>
      <c r="H532" s="267"/>
      <c r="I532" s="287"/>
      <c r="J532" s="288">
        <f t="shared" si="99"/>
        <v>0</v>
      </c>
      <c r="K532" s="276" t="s">
        <v>1087</v>
      </c>
      <c r="L532" s="33">
        <v>1</v>
      </c>
      <c r="M532" s="157" t="s">
        <v>2162</v>
      </c>
      <c r="N532" s="157"/>
      <c r="O532" s="157" t="s">
        <v>527</v>
      </c>
      <c r="P532" s="163" t="s">
        <v>2164</v>
      </c>
    </row>
    <row r="533" s="92" customFormat="1" ht="20.1" customHeight="1" spans="1:16">
      <c r="A533" s="157" t="s">
        <v>2165</v>
      </c>
      <c r="B533" s="36" t="s">
        <v>2166</v>
      </c>
      <c r="C533" s="267"/>
      <c r="D533" s="268">
        <f t="shared" si="106"/>
        <v>0</v>
      </c>
      <c r="E533" s="267"/>
      <c r="F533" s="267"/>
      <c r="G533" s="267"/>
      <c r="H533" s="267"/>
      <c r="I533" s="287"/>
      <c r="J533" s="288">
        <f t="shared" si="99"/>
        <v>0</v>
      </c>
      <c r="K533" s="276" t="s">
        <v>1087</v>
      </c>
      <c r="L533" s="33">
        <v>1</v>
      </c>
      <c r="M533" s="157" t="s">
        <v>2165</v>
      </c>
      <c r="N533" s="157"/>
      <c r="O533" s="157" t="s">
        <v>527</v>
      </c>
      <c r="P533" s="163" t="s">
        <v>2167</v>
      </c>
    </row>
    <row r="534" s="93" customFormat="1" ht="20.1" customHeight="1" spans="1:16">
      <c r="A534" s="263" t="s">
        <v>528</v>
      </c>
      <c r="B534" s="297" t="s">
        <v>294</v>
      </c>
      <c r="C534" s="265">
        <f t="shared" ref="C534:I534" si="110">SUM(C535:C544)</f>
        <v>23</v>
      </c>
      <c r="D534" s="265">
        <f t="shared" si="106"/>
        <v>24</v>
      </c>
      <c r="E534" s="265">
        <f t="shared" si="110"/>
        <v>0</v>
      </c>
      <c r="F534" s="265">
        <f t="shared" si="110"/>
        <v>0</v>
      </c>
      <c r="G534" s="265">
        <f t="shared" si="110"/>
        <v>0</v>
      </c>
      <c r="H534" s="265">
        <f t="shared" si="110"/>
        <v>0</v>
      </c>
      <c r="I534" s="265">
        <f t="shared" si="110"/>
        <v>24</v>
      </c>
      <c r="J534" s="298">
        <f t="shared" si="99"/>
        <v>104.35</v>
      </c>
      <c r="K534" s="284" t="s">
        <v>1082</v>
      </c>
      <c r="L534" s="285"/>
      <c r="M534" s="263" t="s">
        <v>528</v>
      </c>
      <c r="N534" s="263" t="s">
        <v>525</v>
      </c>
      <c r="O534" s="263" t="s">
        <v>528</v>
      </c>
      <c r="P534" s="286" t="s">
        <v>2168</v>
      </c>
    </row>
    <row r="535" s="92" customFormat="1" ht="20.1" customHeight="1" spans="1:16">
      <c r="A535" s="157" t="s">
        <v>2169</v>
      </c>
      <c r="B535" s="36" t="s">
        <v>1086</v>
      </c>
      <c r="C535" s="267"/>
      <c r="D535" s="268">
        <f t="shared" si="106"/>
        <v>0</v>
      </c>
      <c r="E535" s="267"/>
      <c r="F535" s="267"/>
      <c r="G535" s="267"/>
      <c r="H535" s="267"/>
      <c r="I535" s="287"/>
      <c r="J535" s="288">
        <f t="shared" si="99"/>
        <v>0</v>
      </c>
      <c r="K535" s="276" t="s">
        <v>1087</v>
      </c>
      <c r="L535" s="33">
        <v>1</v>
      </c>
      <c r="M535" s="157" t="s">
        <v>2169</v>
      </c>
      <c r="N535" s="157"/>
      <c r="O535" s="157" t="s">
        <v>528</v>
      </c>
      <c r="P535" s="164" t="s">
        <v>1088</v>
      </c>
    </row>
    <row r="536" s="92" customFormat="1" ht="20.1" customHeight="1" spans="1:16">
      <c r="A536" s="157" t="s">
        <v>2170</v>
      </c>
      <c r="B536" s="36" t="s">
        <v>1090</v>
      </c>
      <c r="C536" s="267"/>
      <c r="D536" s="268">
        <f t="shared" si="106"/>
        <v>0</v>
      </c>
      <c r="E536" s="267"/>
      <c r="F536" s="267"/>
      <c r="G536" s="267"/>
      <c r="H536" s="267"/>
      <c r="I536" s="287"/>
      <c r="J536" s="288">
        <f t="shared" si="99"/>
        <v>0</v>
      </c>
      <c r="K536" s="276" t="s">
        <v>1087</v>
      </c>
      <c r="L536" s="33">
        <v>1</v>
      </c>
      <c r="M536" s="157" t="s">
        <v>2170</v>
      </c>
      <c r="N536" s="157"/>
      <c r="O536" s="157" t="s">
        <v>528</v>
      </c>
      <c r="P536" s="164" t="s">
        <v>1091</v>
      </c>
    </row>
    <row r="537" s="92" customFormat="1" ht="20.1" customHeight="1" spans="1:16">
      <c r="A537" s="157" t="s">
        <v>2171</v>
      </c>
      <c r="B537" s="36" t="s">
        <v>1093</v>
      </c>
      <c r="C537" s="267"/>
      <c r="D537" s="268">
        <f t="shared" si="106"/>
        <v>0</v>
      </c>
      <c r="E537" s="267"/>
      <c r="F537" s="267"/>
      <c r="G537" s="267"/>
      <c r="H537" s="267"/>
      <c r="I537" s="287"/>
      <c r="J537" s="288">
        <f t="shared" si="99"/>
        <v>0</v>
      </c>
      <c r="K537" s="276" t="s">
        <v>1087</v>
      </c>
      <c r="L537" s="33">
        <v>1</v>
      </c>
      <c r="M537" s="157" t="s">
        <v>2171</v>
      </c>
      <c r="N537" s="157"/>
      <c r="O537" s="157" t="s">
        <v>528</v>
      </c>
      <c r="P537" s="164" t="s">
        <v>1094</v>
      </c>
    </row>
    <row r="538" s="92" customFormat="1" ht="20.1" customHeight="1" spans="1:16">
      <c r="A538" s="157" t="s">
        <v>2172</v>
      </c>
      <c r="B538" s="36" t="s">
        <v>2173</v>
      </c>
      <c r="C538" s="267"/>
      <c r="D538" s="268">
        <f t="shared" si="106"/>
        <v>0</v>
      </c>
      <c r="E538" s="267"/>
      <c r="F538" s="267"/>
      <c r="G538" s="267"/>
      <c r="H538" s="267"/>
      <c r="I538" s="287"/>
      <c r="J538" s="288">
        <f t="shared" si="99"/>
        <v>0</v>
      </c>
      <c r="K538" s="276" t="s">
        <v>1087</v>
      </c>
      <c r="L538" s="33">
        <v>1</v>
      </c>
      <c r="M538" s="157" t="s">
        <v>2172</v>
      </c>
      <c r="N538" s="157"/>
      <c r="O538" s="157" t="s">
        <v>528</v>
      </c>
      <c r="P538" s="163" t="s">
        <v>2174</v>
      </c>
    </row>
    <row r="539" s="92" customFormat="1" ht="20.1" customHeight="1" spans="1:16">
      <c r="A539" s="157" t="s">
        <v>2175</v>
      </c>
      <c r="B539" s="36" t="s">
        <v>2176</v>
      </c>
      <c r="C539" s="267"/>
      <c r="D539" s="268">
        <f t="shared" si="106"/>
        <v>0</v>
      </c>
      <c r="E539" s="267"/>
      <c r="F539" s="267"/>
      <c r="G539" s="267"/>
      <c r="H539" s="267"/>
      <c r="I539" s="287"/>
      <c r="J539" s="288">
        <f t="shared" si="99"/>
        <v>0</v>
      </c>
      <c r="K539" s="276" t="s">
        <v>1087</v>
      </c>
      <c r="L539" s="33">
        <v>1</v>
      </c>
      <c r="M539" s="157" t="s">
        <v>2175</v>
      </c>
      <c r="N539" s="157"/>
      <c r="O539" s="157" t="s">
        <v>528</v>
      </c>
      <c r="P539" s="163" t="s">
        <v>2177</v>
      </c>
    </row>
    <row r="540" s="92" customFormat="1" ht="20.1" customHeight="1" spans="1:16">
      <c r="A540" s="157" t="s">
        <v>2178</v>
      </c>
      <c r="B540" s="36" t="s">
        <v>2179</v>
      </c>
      <c r="C540" s="267"/>
      <c r="D540" s="268">
        <f t="shared" si="106"/>
        <v>0</v>
      </c>
      <c r="E540" s="267"/>
      <c r="F540" s="267"/>
      <c r="G540" s="267"/>
      <c r="H540" s="267"/>
      <c r="I540" s="287"/>
      <c r="J540" s="288">
        <f t="shared" si="99"/>
        <v>0</v>
      </c>
      <c r="K540" s="276" t="s">
        <v>1087</v>
      </c>
      <c r="L540" s="33">
        <v>1</v>
      </c>
      <c r="M540" s="157" t="s">
        <v>2178</v>
      </c>
      <c r="N540" s="157"/>
      <c r="O540" s="157" t="s">
        <v>528</v>
      </c>
      <c r="P540" s="163" t="s">
        <v>2180</v>
      </c>
    </row>
    <row r="541" s="92" customFormat="1" ht="20.1" customHeight="1" spans="1:16">
      <c r="A541" s="157" t="s">
        <v>2181</v>
      </c>
      <c r="B541" s="36" t="s">
        <v>2182</v>
      </c>
      <c r="C541" s="267"/>
      <c r="D541" s="268">
        <f t="shared" si="106"/>
        <v>0</v>
      </c>
      <c r="E541" s="267"/>
      <c r="F541" s="267"/>
      <c r="G541" s="267"/>
      <c r="H541" s="267"/>
      <c r="I541" s="287"/>
      <c r="J541" s="288">
        <f t="shared" si="99"/>
        <v>0</v>
      </c>
      <c r="K541" s="276" t="s">
        <v>1087</v>
      </c>
      <c r="L541" s="33">
        <v>1</v>
      </c>
      <c r="M541" s="157" t="s">
        <v>2181</v>
      </c>
      <c r="N541" s="157"/>
      <c r="O541" s="157" t="s">
        <v>528</v>
      </c>
      <c r="P541" s="163" t="s">
        <v>2183</v>
      </c>
    </row>
    <row r="542" s="92" customFormat="1" ht="20.1" customHeight="1" spans="1:16">
      <c r="A542" s="157" t="s">
        <v>2184</v>
      </c>
      <c r="B542" s="36" t="s">
        <v>2185</v>
      </c>
      <c r="C542" s="267">
        <v>23</v>
      </c>
      <c r="D542" s="268">
        <f t="shared" si="106"/>
        <v>24</v>
      </c>
      <c r="E542" s="267"/>
      <c r="F542" s="267"/>
      <c r="G542" s="267"/>
      <c r="H542" s="267"/>
      <c r="I542" s="287">
        <v>24</v>
      </c>
      <c r="J542" s="288">
        <f t="shared" ref="J542:J557" si="111">ROUND(IF(C542=0,IF(D542=0,0,1),IF(D542=0,-1,D542/C542)),4)*100</f>
        <v>104.35</v>
      </c>
      <c r="K542" s="276" t="s">
        <v>1087</v>
      </c>
      <c r="L542" s="33">
        <v>1</v>
      </c>
      <c r="M542" s="157" t="s">
        <v>2184</v>
      </c>
      <c r="N542" s="157"/>
      <c r="O542" s="157" t="s">
        <v>528</v>
      </c>
      <c r="P542" s="163" t="s">
        <v>2186</v>
      </c>
    </row>
    <row r="543" s="92" customFormat="1" ht="20.1" customHeight="1" spans="1:16">
      <c r="A543" s="157" t="s">
        <v>2187</v>
      </c>
      <c r="B543" s="36" t="s">
        <v>2188</v>
      </c>
      <c r="C543" s="267"/>
      <c r="D543" s="268">
        <f t="shared" si="106"/>
        <v>0</v>
      </c>
      <c r="E543" s="267"/>
      <c r="F543" s="267"/>
      <c r="G543" s="267"/>
      <c r="H543" s="267"/>
      <c r="I543" s="287"/>
      <c r="J543" s="288">
        <f t="shared" si="111"/>
        <v>0</v>
      </c>
      <c r="K543" s="276" t="s">
        <v>1087</v>
      </c>
      <c r="L543" s="33">
        <v>1</v>
      </c>
      <c r="M543" s="157" t="s">
        <v>2187</v>
      </c>
      <c r="N543" s="157"/>
      <c r="O543" s="157" t="s">
        <v>528</v>
      </c>
      <c r="P543" s="163" t="s">
        <v>2189</v>
      </c>
    </row>
    <row r="544" s="92" customFormat="1" ht="20.1" customHeight="1" spans="1:16">
      <c r="A544" s="157" t="s">
        <v>2190</v>
      </c>
      <c r="B544" s="36" t="s">
        <v>2191</v>
      </c>
      <c r="C544" s="267"/>
      <c r="D544" s="268">
        <f t="shared" si="106"/>
        <v>0</v>
      </c>
      <c r="E544" s="267"/>
      <c r="F544" s="267"/>
      <c r="G544" s="267"/>
      <c r="H544" s="267"/>
      <c r="I544" s="287"/>
      <c r="J544" s="288">
        <f t="shared" si="111"/>
        <v>0</v>
      </c>
      <c r="K544" s="276" t="s">
        <v>1087</v>
      </c>
      <c r="L544" s="33">
        <v>1</v>
      </c>
      <c r="M544" s="157" t="s">
        <v>2190</v>
      </c>
      <c r="N544" s="157"/>
      <c r="O544" s="157" t="s">
        <v>528</v>
      </c>
      <c r="P544" s="163" t="s">
        <v>2192</v>
      </c>
    </row>
    <row r="545" s="93" customFormat="1" ht="20.1" customHeight="1" spans="1:16">
      <c r="A545" s="263" t="s">
        <v>529</v>
      </c>
      <c r="B545" s="297" t="s">
        <v>295</v>
      </c>
      <c r="C545" s="265">
        <f t="shared" ref="C545:I545" si="112">SUM(C546:C553)</f>
        <v>37</v>
      </c>
      <c r="D545" s="265">
        <f t="shared" si="106"/>
        <v>26</v>
      </c>
      <c r="E545" s="265">
        <f t="shared" si="112"/>
        <v>0</v>
      </c>
      <c r="F545" s="265">
        <f t="shared" si="112"/>
        <v>0</v>
      </c>
      <c r="G545" s="265">
        <f t="shared" si="112"/>
        <v>26</v>
      </c>
      <c r="H545" s="265">
        <f t="shared" si="112"/>
        <v>0</v>
      </c>
      <c r="I545" s="265">
        <f t="shared" si="112"/>
        <v>0</v>
      </c>
      <c r="J545" s="298">
        <f t="shared" si="111"/>
        <v>70.27</v>
      </c>
      <c r="K545" s="284" t="s">
        <v>1082</v>
      </c>
      <c r="L545" s="285"/>
      <c r="M545" s="263" t="s">
        <v>529</v>
      </c>
      <c r="N545" s="263" t="s">
        <v>525</v>
      </c>
      <c r="O545" s="263" t="s">
        <v>529</v>
      </c>
      <c r="P545" s="286" t="s">
        <v>2193</v>
      </c>
    </row>
    <row r="546" s="92" customFormat="1" ht="20.1" customHeight="1" spans="1:16">
      <c r="A546" s="157" t="s">
        <v>2194</v>
      </c>
      <c r="B546" s="36" t="s">
        <v>1086</v>
      </c>
      <c r="C546" s="267"/>
      <c r="D546" s="268">
        <f t="shared" si="106"/>
        <v>0</v>
      </c>
      <c r="E546" s="267"/>
      <c r="F546" s="267"/>
      <c r="G546" s="267"/>
      <c r="H546" s="267"/>
      <c r="I546" s="287"/>
      <c r="J546" s="288">
        <f t="shared" si="111"/>
        <v>0</v>
      </c>
      <c r="K546" s="276" t="s">
        <v>1087</v>
      </c>
      <c r="L546" s="33">
        <v>1</v>
      </c>
      <c r="M546" s="157" t="s">
        <v>2194</v>
      </c>
      <c r="N546" s="157"/>
      <c r="O546" s="157" t="s">
        <v>529</v>
      </c>
      <c r="P546" s="164" t="s">
        <v>1088</v>
      </c>
    </row>
    <row r="547" s="92" customFormat="1" ht="20.1" customHeight="1" spans="1:16">
      <c r="A547" s="157" t="s">
        <v>2195</v>
      </c>
      <c r="B547" s="36" t="s">
        <v>1090</v>
      </c>
      <c r="C547" s="267"/>
      <c r="D547" s="268">
        <f t="shared" si="106"/>
        <v>0</v>
      </c>
      <c r="E547" s="267"/>
      <c r="F547" s="267"/>
      <c r="G547" s="267"/>
      <c r="H547" s="267"/>
      <c r="I547" s="287"/>
      <c r="J547" s="288">
        <f t="shared" si="111"/>
        <v>0</v>
      </c>
      <c r="K547" s="276" t="s">
        <v>1087</v>
      </c>
      <c r="L547" s="33">
        <v>1</v>
      </c>
      <c r="M547" s="157" t="s">
        <v>2195</v>
      </c>
      <c r="N547" s="157"/>
      <c r="O547" s="157" t="s">
        <v>529</v>
      </c>
      <c r="P547" s="164" t="s">
        <v>1091</v>
      </c>
    </row>
    <row r="548" s="92" customFormat="1" ht="20.1" customHeight="1" spans="1:16">
      <c r="A548" s="157" t="s">
        <v>2196</v>
      </c>
      <c r="B548" s="36" t="s">
        <v>1093</v>
      </c>
      <c r="C548" s="267"/>
      <c r="D548" s="268">
        <f t="shared" si="106"/>
        <v>0</v>
      </c>
      <c r="E548" s="267"/>
      <c r="F548" s="267"/>
      <c r="G548" s="267"/>
      <c r="H548" s="267"/>
      <c r="I548" s="287"/>
      <c r="J548" s="288">
        <f t="shared" si="111"/>
        <v>0</v>
      </c>
      <c r="K548" s="276" t="s">
        <v>1087</v>
      </c>
      <c r="L548" s="33">
        <v>1</v>
      </c>
      <c r="M548" s="157" t="s">
        <v>2196</v>
      </c>
      <c r="N548" s="157"/>
      <c r="O548" s="157" t="s">
        <v>529</v>
      </c>
      <c r="P548" s="164" t="s">
        <v>1094</v>
      </c>
    </row>
    <row r="549" s="92" customFormat="1" ht="20.1" customHeight="1" spans="1:16">
      <c r="A549" s="157" t="s">
        <v>2197</v>
      </c>
      <c r="B549" s="36" t="s">
        <v>2198</v>
      </c>
      <c r="C549" s="267"/>
      <c r="D549" s="268">
        <f t="shared" si="106"/>
        <v>0</v>
      </c>
      <c r="E549" s="267"/>
      <c r="F549" s="267"/>
      <c r="G549" s="267"/>
      <c r="H549" s="267"/>
      <c r="I549" s="287"/>
      <c r="J549" s="288">
        <f t="shared" si="111"/>
        <v>0</v>
      </c>
      <c r="K549" s="276" t="s">
        <v>1087</v>
      </c>
      <c r="L549" s="33">
        <v>1</v>
      </c>
      <c r="M549" s="157" t="s">
        <v>2197</v>
      </c>
      <c r="N549" s="157"/>
      <c r="O549" s="157" t="s">
        <v>529</v>
      </c>
      <c r="P549" s="164" t="s">
        <v>2199</v>
      </c>
    </row>
    <row r="550" s="92" customFormat="1" ht="20.1" customHeight="1" spans="1:16">
      <c r="A550" s="157" t="s">
        <v>2200</v>
      </c>
      <c r="B550" s="36" t="s">
        <v>2201</v>
      </c>
      <c r="C550" s="267"/>
      <c r="D550" s="268">
        <f t="shared" si="106"/>
        <v>0</v>
      </c>
      <c r="E550" s="267"/>
      <c r="F550" s="267"/>
      <c r="G550" s="267"/>
      <c r="H550" s="267"/>
      <c r="I550" s="287"/>
      <c r="J550" s="288">
        <f t="shared" si="111"/>
        <v>0</v>
      </c>
      <c r="K550" s="276" t="s">
        <v>1087</v>
      </c>
      <c r="L550" s="33">
        <v>1</v>
      </c>
      <c r="M550" s="157" t="s">
        <v>2200</v>
      </c>
      <c r="N550" s="157"/>
      <c r="O550" s="157" t="s">
        <v>529</v>
      </c>
      <c r="P550" s="164" t="s">
        <v>2202</v>
      </c>
    </row>
    <row r="551" s="92" customFormat="1" ht="20.1" customHeight="1" spans="1:16">
      <c r="A551" s="157" t="s">
        <v>2203</v>
      </c>
      <c r="B551" s="36" t="s">
        <v>2204</v>
      </c>
      <c r="C551" s="267"/>
      <c r="D551" s="268">
        <f t="shared" si="106"/>
        <v>0</v>
      </c>
      <c r="E551" s="267"/>
      <c r="F551" s="267"/>
      <c r="G551" s="267"/>
      <c r="H551" s="267"/>
      <c r="I551" s="287"/>
      <c r="J551" s="288">
        <f t="shared" si="111"/>
        <v>0</v>
      </c>
      <c r="K551" s="276" t="s">
        <v>1087</v>
      </c>
      <c r="L551" s="33">
        <v>1</v>
      </c>
      <c r="M551" s="157" t="s">
        <v>2203</v>
      </c>
      <c r="N551" s="157"/>
      <c r="O551" s="157" t="s">
        <v>529</v>
      </c>
      <c r="P551" s="164" t="s">
        <v>2205</v>
      </c>
    </row>
    <row r="552" s="92" customFormat="1" ht="20.1" customHeight="1" spans="1:16">
      <c r="A552" s="157" t="s">
        <v>2206</v>
      </c>
      <c r="B552" s="36" t="s">
        <v>2207</v>
      </c>
      <c r="C552" s="267">
        <v>37</v>
      </c>
      <c r="D552" s="268">
        <f t="shared" si="106"/>
        <v>26</v>
      </c>
      <c r="E552" s="267"/>
      <c r="F552" s="267"/>
      <c r="G552" s="267">
        <v>26</v>
      </c>
      <c r="H552" s="267"/>
      <c r="I552" s="287"/>
      <c r="J552" s="288">
        <f t="shared" si="111"/>
        <v>70.27</v>
      </c>
      <c r="K552" s="276" t="s">
        <v>1087</v>
      </c>
      <c r="L552" s="33">
        <v>1</v>
      </c>
      <c r="M552" s="157" t="s">
        <v>2206</v>
      </c>
      <c r="N552" s="157"/>
      <c r="O552" s="157" t="s">
        <v>529</v>
      </c>
      <c r="P552" s="164" t="s">
        <v>2208</v>
      </c>
    </row>
    <row r="553" s="92" customFormat="1" ht="20.1" customHeight="1" spans="1:16">
      <c r="A553" s="157" t="s">
        <v>2209</v>
      </c>
      <c r="B553" s="36" t="s">
        <v>2210</v>
      </c>
      <c r="C553" s="267"/>
      <c r="D553" s="268">
        <f t="shared" si="106"/>
        <v>0</v>
      </c>
      <c r="E553" s="267"/>
      <c r="F553" s="267"/>
      <c r="G553" s="267"/>
      <c r="H553" s="267"/>
      <c r="I553" s="287"/>
      <c r="J553" s="288">
        <f t="shared" si="111"/>
        <v>0</v>
      </c>
      <c r="K553" s="276" t="s">
        <v>1087</v>
      </c>
      <c r="L553" s="33">
        <v>1</v>
      </c>
      <c r="M553" s="157" t="s">
        <v>2209</v>
      </c>
      <c r="N553" s="157"/>
      <c r="O553" s="157" t="s">
        <v>529</v>
      </c>
      <c r="P553" s="164" t="s">
        <v>2211</v>
      </c>
    </row>
    <row r="554" s="93" customFormat="1" ht="20.1" customHeight="1" spans="1:16">
      <c r="A554" s="263" t="s">
        <v>530</v>
      </c>
      <c r="B554" s="297" t="s">
        <v>296</v>
      </c>
      <c r="C554" s="265">
        <f t="shared" ref="C554:I554" si="113">SUM(C555:C561)</f>
        <v>380</v>
      </c>
      <c r="D554" s="265">
        <f t="shared" si="106"/>
        <v>536</v>
      </c>
      <c r="E554" s="265">
        <f t="shared" si="113"/>
        <v>0</v>
      </c>
      <c r="F554" s="265">
        <f t="shared" si="113"/>
        <v>0</v>
      </c>
      <c r="G554" s="265">
        <f t="shared" si="113"/>
        <v>85</v>
      </c>
      <c r="H554" s="265">
        <f t="shared" si="113"/>
        <v>0</v>
      </c>
      <c r="I554" s="265">
        <f t="shared" si="113"/>
        <v>451</v>
      </c>
      <c r="J554" s="298">
        <f t="shared" si="111"/>
        <v>141.05</v>
      </c>
      <c r="K554" s="284" t="s">
        <v>1082</v>
      </c>
      <c r="L554" s="285"/>
      <c r="M554" s="263" t="s">
        <v>530</v>
      </c>
      <c r="N554" s="263" t="s">
        <v>525</v>
      </c>
      <c r="O554" s="263" t="s">
        <v>530</v>
      </c>
      <c r="P554" s="286" t="s">
        <v>2212</v>
      </c>
    </row>
    <row r="555" s="92" customFormat="1" ht="20.1" customHeight="1" spans="1:16">
      <c r="A555" s="157" t="s">
        <v>2213</v>
      </c>
      <c r="B555" s="36" t="s">
        <v>1086</v>
      </c>
      <c r="C555" s="267"/>
      <c r="D555" s="268">
        <f t="shared" si="106"/>
        <v>0</v>
      </c>
      <c r="E555" s="267"/>
      <c r="F555" s="267"/>
      <c r="G555" s="267"/>
      <c r="H555" s="267"/>
      <c r="I555" s="287"/>
      <c r="J555" s="288">
        <f t="shared" si="111"/>
        <v>0</v>
      </c>
      <c r="K555" s="276" t="s">
        <v>1087</v>
      </c>
      <c r="L555" s="33">
        <v>1</v>
      </c>
      <c r="M555" s="157" t="s">
        <v>2213</v>
      </c>
      <c r="N555" s="157"/>
      <c r="O555" s="157" t="s">
        <v>530</v>
      </c>
      <c r="P555" s="164" t="s">
        <v>1088</v>
      </c>
    </row>
    <row r="556" s="92" customFormat="1" ht="20.1" customHeight="1" spans="1:16">
      <c r="A556" s="157" t="s">
        <v>2214</v>
      </c>
      <c r="B556" s="36" t="s">
        <v>1090</v>
      </c>
      <c r="C556" s="267"/>
      <c r="D556" s="268">
        <f t="shared" si="106"/>
        <v>0</v>
      </c>
      <c r="E556" s="267"/>
      <c r="F556" s="267"/>
      <c r="G556" s="267"/>
      <c r="H556" s="267"/>
      <c r="I556" s="287"/>
      <c r="J556" s="288">
        <f t="shared" si="111"/>
        <v>0</v>
      </c>
      <c r="K556" s="276" t="s">
        <v>1087</v>
      </c>
      <c r="L556" s="33">
        <v>1</v>
      </c>
      <c r="M556" s="157" t="s">
        <v>2214</v>
      </c>
      <c r="N556" s="157"/>
      <c r="O556" s="157" t="s">
        <v>530</v>
      </c>
      <c r="P556" s="164" t="s">
        <v>1091</v>
      </c>
    </row>
    <row r="557" s="92" customFormat="1" ht="20.1" customHeight="1" spans="1:16">
      <c r="A557" s="157" t="s">
        <v>2215</v>
      </c>
      <c r="B557" s="36" t="s">
        <v>1093</v>
      </c>
      <c r="C557" s="267"/>
      <c r="D557" s="268">
        <f t="shared" si="106"/>
        <v>0</v>
      </c>
      <c r="E557" s="267"/>
      <c r="F557" s="267"/>
      <c r="G557" s="267"/>
      <c r="H557" s="267"/>
      <c r="I557" s="287"/>
      <c r="J557" s="288">
        <f t="shared" si="111"/>
        <v>0</v>
      </c>
      <c r="K557" s="276" t="s">
        <v>1087</v>
      </c>
      <c r="L557" s="33">
        <v>1</v>
      </c>
      <c r="M557" s="157" t="s">
        <v>2215</v>
      </c>
      <c r="N557" s="157"/>
      <c r="O557" s="157" t="s">
        <v>530</v>
      </c>
      <c r="P557" s="164" t="s">
        <v>1094</v>
      </c>
    </row>
    <row r="558" s="92" customFormat="1" ht="20.1" customHeight="1" spans="1:16">
      <c r="A558" s="299" t="s">
        <v>2216</v>
      </c>
      <c r="B558" s="300" t="s">
        <v>2217</v>
      </c>
      <c r="C558" s="267"/>
      <c r="D558" s="268">
        <f t="shared" si="106"/>
        <v>0</v>
      </c>
      <c r="E558" s="267"/>
      <c r="F558" s="267"/>
      <c r="G558" s="267"/>
      <c r="H558" s="267"/>
      <c r="I558" s="287"/>
      <c r="J558" s="288"/>
      <c r="K558" s="276" t="s">
        <v>1087</v>
      </c>
      <c r="L558" s="33">
        <v>1</v>
      </c>
      <c r="M558" s="299" t="s">
        <v>2216</v>
      </c>
      <c r="N558" s="157"/>
      <c r="O558" s="157" t="s">
        <v>530</v>
      </c>
      <c r="P558" s="164" t="s">
        <v>2218</v>
      </c>
    </row>
    <row r="559" s="92" customFormat="1" ht="20.1" customHeight="1" spans="1:16">
      <c r="A559" s="301" t="s">
        <v>2219</v>
      </c>
      <c r="B559" s="302" t="s">
        <v>2220</v>
      </c>
      <c r="C559" s="267">
        <v>54</v>
      </c>
      <c r="D559" s="268">
        <f t="shared" si="106"/>
        <v>92</v>
      </c>
      <c r="E559" s="267"/>
      <c r="F559" s="267"/>
      <c r="G559" s="267">
        <v>77</v>
      </c>
      <c r="H559" s="267"/>
      <c r="I559" s="287">
        <v>15</v>
      </c>
      <c r="J559" s="288">
        <f t="shared" ref="J559:J578" si="114">ROUND(IF(C559=0,IF(D559=0,0,1),IF(D559=0,-1,D559/C559)),4)*100</f>
        <v>170.37</v>
      </c>
      <c r="K559" s="276" t="s">
        <v>1087</v>
      </c>
      <c r="L559" s="33">
        <v>1</v>
      </c>
      <c r="M559" s="301" t="s">
        <v>2219</v>
      </c>
      <c r="N559" s="157"/>
      <c r="O559" s="157" t="s">
        <v>530</v>
      </c>
      <c r="P559" s="164" t="s">
        <v>2221</v>
      </c>
    </row>
    <row r="560" s="92" customFormat="1" ht="20.1" customHeight="1" spans="1:16">
      <c r="A560" s="301" t="s">
        <v>2222</v>
      </c>
      <c r="B560" s="302" t="s">
        <v>2223</v>
      </c>
      <c r="C560" s="267">
        <v>321</v>
      </c>
      <c r="D560" s="268">
        <f t="shared" si="106"/>
        <v>436</v>
      </c>
      <c r="E560" s="267"/>
      <c r="F560" s="267"/>
      <c r="G560" s="267">
        <v>8</v>
      </c>
      <c r="H560" s="267"/>
      <c r="I560" s="287">
        <v>428</v>
      </c>
      <c r="J560" s="288">
        <f t="shared" si="114"/>
        <v>135.83</v>
      </c>
      <c r="K560" s="276" t="s">
        <v>1087</v>
      </c>
      <c r="L560" s="33">
        <v>1</v>
      </c>
      <c r="M560" s="301" t="s">
        <v>2222</v>
      </c>
      <c r="N560" s="157"/>
      <c r="O560" s="157" t="s">
        <v>530</v>
      </c>
      <c r="P560" s="164" t="s">
        <v>2224</v>
      </c>
    </row>
    <row r="561" s="92" customFormat="1" ht="20.1" customHeight="1" spans="1:16">
      <c r="A561" s="157" t="s">
        <v>2225</v>
      </c>
      <c r="B561" s="36" t="s">
        <v>2226</v>
      </c>
      <c r="C561" s="267">
        <v>5</v>
      </c>
      <c r="D561" s="268">
        <f t="shared" si="106"/>
        <v>8</v>
      </c>
      <c r="E561" s="267"/>
      <c r="F561" s="267"/>
      <c r="G561" s="267"/>
      <c r="H561" s="267"/>
      <c r="I561" s="287">
        <v>8</v>
      </c>
      <c r="J561" s="288">
        <f t="shared" si="114"/>
        <v>160</v>
      </c>
      <c r="K561" s="276" t="s">
        <v>1087</v>
      </c>
      <c r="L561" s="33">
        <v>1</v>
      </c>
      <c r="M561" s="157" t="s">
        <v>2225</v>
      </c>
      <c r="N561" s="157"/>
      <c r="O561" s="157" t="s">
        <v>530</v>
      </c>
      <c r="P561" s="164" t="s">
        <v>2227</v>
      </c>
    </row>
    <row r="562" s="93" customFormat="1" ht="20.1" customHeight="1" spans="1:16">
      <c r="A562" s="263" t="s">
        <v>531</v>
      </c>
      <c r="B562" s="297" t="s">
        <v>297</v>
      </c>
      <c r="C562" s="265">
        <f t="shared" ref="C562:I562" si="115">SUM(C563:C564)</f>
        <v>0</v>
      </c>
      <c r="D562" s="265">
        <f t="shared" si="106"/>
        <v>15</v>
      </c>
      <c r="E562" s="265">
        <f t="shared" si="115"/>
        <v>0</v>
      </c>
      <c r="F562" s="265">
        <f t="shared" si="115"/>
        <v>0</v>
      </c>
      <c r="G562" s="265">
        <f t="shared" si="115"/>
        <v>15</v>
      </c>
      <c r="H562" s="265">
        <f t="shared" si="115"/>
        <v>0</v>
      </c>
      <c r="I562" s="265">
        <f t="shared" si="115"/>
        <v>0</v>
      </c>
      <c r="J562" s="298">
        <f t="shared" si="114"/>
        <v>100</v>
      </c>
      <c r="K562" s="284" t="s">
        <v>1082</v>
      </c>
      <c r="L562" s="285"/>
      <c r="M562" s="263" t="s">
        <v>531</v>
      </c>
      <c r="N562" s="263" t="s">
        <v>525</v>
      </c>
      <c r="O562" s="263" t="s">
        <v>531</v>
      </c>
      <c r="P562" s="286" t="s">
        <v>2228</v>
      </c>
    </row>
    <row r="563" s="92" customFormat="1" ht="20.1" customHeight="1" spans="1:16">
      <c r="A563" s="157" t="s">
        <v>2229</v>
      </c>
      <c r="B563" s="36" t="s">
        <v>2230</v>
      </c>
      <c r="C563" s="267">
        <v>0</v>
      </c>
      <c r="D563" s="268">
        <f t="shared" si="106"/>
        <v>15</v>
      </c>
      <c r="E563" s="267"/>
      <c r="F563" s="267"/>
      <c r="G563" s="267">
        <v>15</v>
      </c>
      <c r="H563" s="267"/>
      <c r="I563" s="287"/>
      <c r="J563" s="288">
        <f t="shared" si="114"/>
        <v>100</v>
      </c>
      <c r="K563" s="276" t="s">
        <v>1087</v>
      </c>
      <c r="L563" s="33">
        <v>1</v>
      </c>
      <c r="M563" s="157" t="s">
        <v>2229</v>
      </c>
      <c r="N563" s="157"/>
      <c r="O563" s="157" t="s">
        <v>531</v>
      </c>
      <c r="P563" s="163" t="s">
        <v>2231</v>
      </c>
    </row>
    <row r="564" s="92" customFormat="1" ht="20.1" customHeight="1" spans="1:16">
      <c r="A564" s="157" t="s">
        <v>2232</v>
      </c>
      <c r="B564" s="36" t="s">
        <v>2233</v>
      </c>
      <c r="C564" s="267">
        <v>0</v>
      </c>
      <c r="D564" s="268">
        <f t="shared" si="106"/>
        <v>0</v>
      </c>
      <c r="E564" s="267"/>
      <c r="F564" s="267"/>
      <c r="G564" s="267"/>
      <c r="H564" s="267"/>
      <c r="I564" s="287"/>
      <c r="J564" s="288">
        <f t="shared" si="114"/>
        <v>0</v>
      </c>
      <c r="K564" s="276" t="s">
        <v>1087</v>
      </c>
      <c r="L564" s="33">
        <v>1</v>
      </c>
      <c r="M564" s="157" t="s">
        <v>2232</v>
      </c>
      <c r="N564" s="157"/>
      <c r="O564" s="157" t="s">
        <v>531</v>
      </c>
      <c r="P564" s="163" t="s">
        <v>2228</v>
      </c>
    </row>
    <row r="565" s="93" customFormat="1" ht="20.1" customHeight="1" spans="1:16">
      <c r="A565" s="154" t="s">
        <v>532</v>
      </c>
      <c r="B565" s="261" t="s">
        <v>298</v>
      </c>
      <c r="C565" s="262">
        <f t="shared" ref="C565:I565" si="116">C566+C585+C594+C596+C605+C609+C619+C628+C635+C643+C652+C658+C661+C664+C667+C670+C673+C677+C681+C690+C693</f>
        <v>59901</v>
      </c>
      <c r="D565" s="262">
        <f t="shared" si="106"/>
        <v>65144</v>
      </c>
      <c r="E565" s="262">
        <f t="shared" si="116"/>
        <v>22154</v>
      </c>
      <c r="F565" s="262">
        <f t="shared" si="116"/>
        <v>28</v>
      </c>
      <c r="G565" s="262">
        <f t="shared" si="116"/>
        <v>6075</v>
      </c>
      <c r="H565" s="262">
        <f t="shared" si="116"/>
        <v>1034</v>
      </c>
      <c r="I565" s="262">
        <f t="shared" si="116"/>
        <v>35853</v>
      </c>
      <c r="J565" s="279">
        <f t="shared" si="114"/>
        <v>108.75</v>
      </c>
      <c r="K565" s="280" t="s">
        <v>1081</v>
      </c>
      <c r="L565" s="281"/>
      <c r="M565" s="154" t="s">
        <v>532</v>
      </c>
      <c r="N565" s="154" t="s">
        <v>532</v>
      </c>
      <c r="O565" s="154" t="s">
        <v>532</v>
      </c>
      <c r="P565" s="282" t="s">
        <v>2234</v>
      </c>
    </row>
    <row r="566" s="93" customFormat="1" ht="20.1" customHeight="1" spans="1:16">
      <c r="A566" s="263" t="s">
        <v>533</v>
      </c>
      <c r="B566" s="297" t="s">
        <v>299</v>
      </c>
      <c r="C566" s="265">
        <f t="shared" ref="C566:I566" si="117">SUM(C567:C584)</f>
        <v>3710</v>
      </c>
      <c r="D566" s="265">
        <f t="shared" si="106"/>
        <v>4296</v>
      </c>
      <c r="E566" s="265">
        <f t="shared" si="117"/>
        <v>0</v>
      </c>
      <c r="F566" s="265">
        <f t="shared" si="117"/>
        <v>0</v>
      </c>
      <c r="G566" s="265">
        <f t="shared" si="117"/>
        <v>63</v>
      </c>
      <c r="H566" s="265">
        <f t="shared" si="117"/>
        <v>0</v>
      </c>
      <c r="I566" s="265">
        <f t="shared" si="117"/>
        <v>4233</v>
      </c>
      <c r="J566" s="298">
        <f t="shared" si="114"/>
        <v>115.8</v>
      </c>
      <c r="K566" s="284" t="s">
        <v>1082</v>
      </c>
      <c r="L566" s="285"/>
      <c r="M566" s="263" t="s">
        <v>533</v>
      </c>
      <c r="N566" s="263" t="s">
        <v>532</v>
      </c>
      <c r="O566" s="263" t="s">
        <v>533</v>
      </c>
      <c r="P566" s="286" t="s">
        <v>2235</v>
      </c>
    </row>
    <row r="567" s="92" customFormat="1" ht="20.1" customHeight="1" spans="1:16">
      <c r="A567" s="157" t="s">
        <v>2236</v>
      </c>
      <c r="B567" s="36" t="s">
        <v>1086</v>
      </c>
      <c r="C567" s="267">
        <v>402</v>
      </c>
      <c r="D567" s="268">
        <f t="shared" si="106"/>
        <v>327</v>
      </c>
      <c r="E567" s="267"/>
      <c r="F567" s="267"/>
      <c r="G567" s="267"/>
      <c r="H567" s="267"/>
      <c r="I567" s="287">
        <v>327</v>
      </c>
      <c r="J567" s="288">
        <f t="shared" si="114"/>
        <v>81.34</v>
      </c>
      <c r="K567" s="276" t="s">
        <v>1087</v>
      </c>
      <c r="L567" s="33">
        <v>1</v>
      </c>
      <c r="M567" s="157" t="s">
        <v>2236</v>
      </c>
      <c r="N567" s="157"/>
      <c r="O567" s="157" t="s">
        <v>533</v>
      </c>
      <c r="P567" s="164" t="s">
        <v>1088</v>
      </c>
    </row>
    <row r="568" s="92" customFormat="1" ht="20.1" customHeight="1" spans="1:16">
      <c r="A568" s="157" t="s">
        <v>2237</v>
      </c>
      <c r="B568" s="36" t="s">
        <v>1090</v>
      </c>
      <c r="C568" s="267"/>
      <c r="D568" s="268">
        <f t="shared" si="106"/>
        <v>0</v>
      </c>
      <c r="E568" s="267"/>
      <c r="F568" s="267"/>
      <c r="G568" s="267"/>
      <c r="H568" s="267"/>
      <c r="I568" s="287"/>
      <c r="J568" s="288">
        <f t="shared" si="114"/>
        <v>0</v>
      </c>
      <c r="K568" s="276" t="s">
        <v>1087</v>
      </c>
      <c r="L568" s="33">
        <v>1</v>
      </c>
      <c r="M568" s="157" t="s">
        <v>2237</v>
      </c>
      <c r="N568" s="157"/>
      <c r="O568" s="157" t="s">
        <v>533</v>
      </c>
      <c r="P568" s="164" t="s">
        <v>1091</v>
      </c>
    </row>
    <row r="569" s="92" customFormat="1" ht="20.1" customHeight="1" spans="1:16">
      <c r="A569" s="157" t="s">
        <v>2238</v>
      </c>
      <c r="B569" s="36" t="s">
        <v>1093</v>
      </c>
      <c r="C569" s="267"/>
      <c r="D569" s="268">
        <f t="shared" ref="D569:D632" si="118">SUM(E569:I569)</f>
        <v>0</v>
      </c>
      <c r="E569" s="267"/>
      <c r="F569" s="267"/>
      <c r="G569" s="267"/>
      <c r="H569" s="267"/>
      <c r="I569" s="287"/>
      <c r="J569" s="288">
        <f t="shared" si="114"/>
        <v>0</v>
      </c>
      <c r="K569" s="276" t="s">
        <v>1087</v>
      </c>
      <c r="L569" s="33">
        <v>1</v>
      </c>
      <c r="M569" s="157" t="s">
        <v>2238</v>
      </c>
      <c r="N569" s="157"/>
      <c r="O569" s="157" t="s">
        <v>533</v>
      </c>
      <c r="P569" s="164" t="s">
        <v>1094</v>
      </c>
    </row>
    <row r="570" s="92" customFormat="1" ht="20.1" customHeight="1" spans="1:16">
      <c r="A570" s="157" t="s">
        <v>2239</v>
      </c>
      <c r="B570" s="36" t="s">
        <v>2240</v>
      </c>
      <c r="C570" s="267">
        <v>8</v>
      </c>
      <c r="D570" s="268">
        <f t="shared" si="118"/>
        <v>10</v>
      </c>
      <c r="E570" s="267"/>
      <c r="F570" s="267"/>
      <c r="G570" s="267"/>
      <c r="H570" s="267"/>
      <c r="I570" s="287">
        <v>10</v>
      </c>
      <c r="J570" s="288">
        <f t="shared" si="114"/>
        <v>125</v>
      </c>
      <c r="K570" s="276" t="s">
        <v>1087</v>
      </c>
      <c r="L570" s="33">
        <v>1</v>
      </c>
      <c r="M570" s="157" t="s">
        <v>2239</v>
      </c>
      <c r="N570" s="157"/>
      <c r="O570" s="157" t="s">
        <v>533</v>
      </c>
      <c r="P570" s="163" t="s">
        <v>2241</v>
      </c>
    </row>
    <row r="571" s="92" customFormat="1" ht="20.1" customHeight="1" spans="1:16">
      <c r="A571" s="157" t="s">
        <v>2242</v>
      </c>
      <c r="B571" s="36" t="s">
        <v>2243</v>
      </c>
      <c r="C571" s="267"/>
      <c r="D571" s="268">
        <f t="shared" si="118"/>
        <v>0</v>
      </c>
      <c r="E571" s="267"/>
      <c r="F571" s="267"/>
      <c r="G571" s="267"/>
      <c r="H571" s="267"/>
      <c r="I571" s="287"/>
      <c r="J571" s="288">
        <f t="shared" si="114"/>
        <v>0</v>
      </c>
      <c r="K571" s="276" t="s">
        <v>1087</v>
      </c>
      <c r="L571" s="33">
        <v>1</v>
      </c>
      <c r="M571" s="157" t="s">
        <v>2242</v>
      </c>
      <c r="N571" s="157"/>
      <c r="O571" s="157" t="s">
        <v>533</v>
      </c>
      <c r="P571" s="163" t="s">
        <v>2244</v>
      </c>
    </row>
    <row r="572" s="92" customFormat="1" ht="20.1" customHeight="1" spans="1:16">
      <c r="A572" s="157" t="s">
        <v>2245</v>
      </c>
      <c r="B572" s="36" t="s">
        <v>2246</v>
      </c>
      <c r="C572" s="267"/>
      <c r="D572" s="268">
        <f t="shared" si="118"/>
        <v>0</v>
      </c>
      <c r="E572" s="267"/>
      <c r="F572" s="267"/>
      <c r="G572" s="267"/>
      <c r="H572" s="267"/>
      <c r="I572" s="287"/>
      <c r="J572" s="288">
        <f t="shared" si="114"/>
        <v>0</v>
      </c>
      <c r="K572" s="276" t="s">
        <v>1087</v>
      </c>
      <c r="L572" s="33">
        <v>1</v>
      </c>
      <c r="M572" s="157" t="s">
        <v>2245</v>
      </c>
      <c r="N572" s="157"/>
      <c r="O572" s="157" t="s">
        <v>533</v>
      </c>
      <c r="P572" s="163" t="s">
        <v>2247</v>
      </c>
    </row>
    <row r="573" s="92" customFormat="1" ht="20.1" customHeight="1" spans="1:16">
      <c r="A573" s="157" t="s">
        <v>2248</v>
      </c>
      <c r="B573" s="36" t="s">
        <v>2249</v>
      </c>
      <c r="C573" s="267"/>
      <c r="D573" s="268">
        <f t="shared" si="118"/>
        <v>0</v>
      </c>
      <c r="E573" s="267"/>
      <c r="F573" s="267"/>
      <c r="G573" s="267"/>
      <c r="H573" s="267"/>
      <c r="I573" s="287"/>
      <c r="J573" s="288">
        <f t="shared" si="114"/>
        <v>0</v>
      </c>
      <c r="K573" s="276" t="s">
        <v>1087</v>
      </c>
      <c r="L573" s="33">
        <v>1</v>
      </c>
      <c r="M573" s="157" t="s">
        <v>2248</v>
      </c>
      <c r="N573" s="157"/>
      <c r="O573" s="157" t="s">
        <v>533</v>
      </c>
      <c r="P573" s="163" t="s">
        <v>2250</v>
      </c>
    </row>
    <row r="574" s="92" customFormat="1" ht="20.1" customHeight="1" spans="1:16">
      <c r="A574" s="157" t="s">
        <v>2251</v>
      </c>
      <c r="B574" s="36" t="s">
        <v>1217</v>
      </c>
      <c r="C574" s="267"/>
      <c r="D574" s="268">
        <f t="shared" si="118"/>
        <v>0</v>
      </c>
      <c r="E574" s="267"/>
      <c r="F574" s="267"/>
      <c r="G574" s="267"/>
      <c r="H574" s="267"/>
      <c r="I574" s="287"/>
      <c r="J574" s="288">
        <f t="shared" si="114"/>
        <v>0</v>
      </c>
      <c r="K574" s="276" t="s">
        <v>1087</v>
      </c>
      <c r="L574" s="33">
        <v>1</v>
      </c>
      <c r="M574" s="157" t="s">
        <v>2251</v>
      </c>
      <c r="N574" s="157"/>
      <c r="O574" s="157" t="s">
        <v>533</v>
      </c>
      <c r="P574" s="164" t="s">
        <v>1218</v>
      </c>
    </row>
    <row r="575" s="92" customFormat="1" ht="20.1" customHeight="1" spans="1:16">
      <c r="A575" s="157" t="s">
        <v>2252</v>
      </c>
      <c r="B575" s="36" t="s">
        <v>2253</v>
      </c>
      <c r="C575" s="267">
        <v>488</v>
      </c>
      <c r="D575" s="268">
        <f t="shared" si="118"/>
        <v>482</v>
      </c>
      <c r="E575" s="267"/>
      <c r="F575" s="267"/>
      <c r="G575" s="267">
        <v>16</v>
      </c>
      <c r="H575" s="267"/>
      <c r="I575" s="287">
        <v>466</v>
      </c>
      <c r="J575" s="288">
        <f t="shared" si="114"/>
        <v>98.77</v>
      </c>
      <c r="K575" s="276" t="s">
        <v>1087</v>
      </c>
      <c r="L575" s="33">
        <v>1</v>
      </c>
      <c r="M575" s="157" t="s">
        <v>2252</v>
      </c>
      <c r="N575" s="157"/>
      <c r="O575" s="157" t="s">
        <v>533</v>
      </c>
      <c r="P575" s="163" t="s">
        <v>2254</v>
      </c>
    </row>
    <row r="576" s="92" customFormat="1" ht="20.1" customHeight="1" spans="1:16">
      <c r="A576" s="157" t="s">
        <v>2255</v>
      </c>
      <c r="B576" s="36" t="s">
        <v>2256</v>
      </c>
      <c r="C576" s="267"/>
      <c r="D576" s="268">
        <f t="shared" si="118"/>
        <v>0</v>
      </c>
      <c r="E576" s="267"/>
      <c r="F576" s="267"/>
      <c r="G576" s="267"/>
      <c r="H576" s="267"/>
      <c r="I576" s="287"/>
      <c r="J576" s="288">
        <f t="shared" si="114"/>
        <v>0</v>
      </c>
      <c r="K576" s="276" t="s">
        <v>1087</v>
      </c>
      <c r="L576" s="33">
        <v>1</v>
      </c>
      <c r="M576" s="157" t="s">
        <v>2255</v>
      </c>
      <c r="N576" s="157"/>
      <c r="O576" s="157" t="s">
        <v>533</v>
      </c>
      <c r="P576" s="163" t="s">
        <v>2257</v>
      </c>
    </row>
    <row r="577" s="92" customFormat="1" ht="20.1" customHeight="1" spans="1:16">
      <c r="A577" s="157" t="s">
        <v>2258</v>
      </c>
      <c r="B577" s="36" t="s">
        <v>2259</v>
      </c>
      <c r="C577" s="267"/>
      <c r="D577" s="268">
        <f t="shared" si="118"/>
        <v>0</v>
      </c>
      <c r="E577" s="267"/>
      <c r="F577" s="267"/>
      <c r="G577" s="267"/>
      <c r="H577" s="267"/>
      <c r="I577" s="287"/>
      <c r="J577" s="288">
        <f t="shared" si="114"/>
        <v>0</v>
      </c>
      <c r="K577" s="276" t="s">
        <v>1087</v>
      </c>
      <c r="L577" s="33">
        <v>1</v>
      </c>
      <c r="M577" s="157" t="s">
        <v>2258</v>
      </c>
      <c r="N577" s="157"/>
      <c r="O577" s="157" t="s">
        <v>533</v>
      </c>
      <c r="P577" s="163" t="s">
        <v>2260</v>
      </c>
    </row>
    <row r="578" s="92" customFormat="1" ht="20.1" customHeight="1" spans="1:16">
      <c r="A578" s="157" t="s">
        <v>2261</v>
      </c>
      <c r="B578" s="36" t="s">
        <v>2262</v>
      </c>
      <c r="C578" s="267">
        <v>2</v>
      </c>
      <c r="D578" s="268">
        <f t="shared" si="118"/>
        <v>3</v>
      </c>
      <c r="E578" s="267"/>
      <c r="F578" s="267"/>
      <c r="G578" s="267"/>
      <c r="H578" s="267"/>
      <c r="I578" s="287">
        <v>3</v>
      </c>
      <c r="J578" s="288">
        <f t="shared" si="114"/>
        <v>150</v>
      </c>
      <c r="K578" s="276" t="s">
        <v>1087</v>
      </c>
      <c r="L578" s="33">
        <v>1</v>
      </c>
      <c r="M578" s="157" t="s">
        <v>2261</v>
      </c>
      <c r="N578" s="157"/>
      <c r="O578" s="157" t="s">
        <v>533</v>
      </c>
      <c r="P578" s="163" t="s">
        <v>2263</v>
      </c>
    </row>
    <row r="579" s="92" customFormat="1" ht="20.1" customHeight="1" spans="1:16">
      <c r="A579" s="157" t="s">
        <v>2264</v>
      </c>
      <c r="B579" s="36" t="s">
        <v>2265</v>
      </c>
      <c r="C579" s="267"/>
      <c r="D579" s="268">
        <f t="shared" si="118"/>
        <v>0</v>
      </c>
      <c r="E579" s="267"/>
      <c r="F579" s="267"/>
      <c r="G579" s="267"/>
      <c r="H579" s="267"/>
      <c r="I579" s="287"/>
      <c r="J579" s="288"/>
      <c r="K579" s="276" t="s">
        <v>1087</v>
      </c>
      <c r="L579" s="33">
        <v>1</v>
      </c>
      <c r="M579" s="157" t="s">
        <v>2264</v>
      </c>
      <c r="N579" s="157"/>
      <c r="O579" s="157" t="s">
        <v>533</v>
      </c>
      <c r="P579" s="119" t="s">
        <v>2266</v>
      </c>
    </row>
    <row r="580" s="92" customFormat="1" ht="20.1" customHeight="1" spans="1:16">
      <c r="A580" s="157" t="s">
        <v>2267</v>
      </c>
      <c r="B580" s="36" t="s">
        <v>2268</v>
      </c>
      <c r="C580" s="267"/>
      <c r="D580" s="268">
        <f t="shared" si="118"/>
        <v>0</v>
      </c>
      <c r="E580" s="267"/>
      <c r="F580" s="267"/>
      <c r="G580" s="267"/>
      <c r="H580" s="267"/>
      <c r="I580" s="287"/>
      <c r="J580" s="288"/>
      <c r="K580" s="276" t="s">
        <v>1087</v>
      </c>
      <c r="L580" s="33">
        <v>1</v>
      </c>
      <c r="M580" s="157" t="s">
        <v>2267</v>
      </c>
      <c r="N580" s="157"/>
      <c r="O580" s="157" t="s">
        <v>533</v>
      </c>
      <c r="P580" s="119" t="s">
        <v>2269</v>
      </c>
    </row>
    <row r="581" s="92" customFormat="1" ht="20.1" customHeight="1" spans="1:16">
      <c r="A581" s="157" t="s">
        <v>2270</v>
      </c>
      <c r="B581" s="36" t="s">
        <v>2271</v>
      </c>
      <c r="C581" s="267"/>
      <c r="D581" s="268">
        <f t="shared" si="118"/>
        <v>0</v>
      </c>
      <c r="E581" s="267"/>
      <c r="F581" s="267"/>
      <c r="G581" s="267"/>
      <c r="H581" s="267"/>
      <c r="I581" s="287"/>
      <c r="J581" s="288"/>
      <c r="K581" s="276" t="s">
        <v>1087</v>
      </c>
      <c r="L581" s="33">
        <v>1</v>
      </c>
      <c r="M581" s="157" t="s">
        <v>2270</v>
      </c>
      <c r="N581" s="157"/>
      <c r="O581" s="157" t="s">
        <v>533</v>
      </c>
      <c r="P581" s="119" t="s">
        <v>2272</v>
      </c>
    </row>
    <row r="582" s="92" customFormat="1" ht="20.1" customHeight="1" spans="1:16">
      <c r="A582" s="157" t="s">
        <v>2273</v>
      </c>
      <c r="B582" s="36" t="s">
        <v>2274</v>
      </c>
      <c r="C582" s="267"/>
      <c r="D582" s="268">
        <f t="shared" si="118"/>
        <v>0</v>
      </c>
      <c r="E582" s="267"/>
      <c r="F582" s="267"/>
      <c r="G582" s="267"/>
      <c r="H582" s="267"/>
      <c r="I582" s="287"/>
      <c r="J582" s="288"/>
      <c r="K582" s="276" t="s">
        <v>1087</v>
      </c>
      <c r="L582" s="33">
        <v>1</v>
      </c>
      <c r="M582" s="157" t="s">
        <v>2273</v>
      </c>
      <c r="N582" s="157"/>
      <c r="O582" s="157" t="s">
        <v>533</v>
      </c>
      <c r="P582" s="119" t="s">
        <v>2275</v>
      </c>
    </row>
    <row r="583" s="92" customFormat="1" ht="20.1" customHeight="1" spans="1:16">
      <c r="A583" s="157" t="s">
        <v>2276</v>
      </c>
      <c r="B583" s="36" t="s">
        <v>1114</v>
      </c>
      <c r="C583" s="267">
        <v>14</v>
      </c>
      <c r="D583" s="268">
        <f t="shared" si="118"/>
        <v>13</v>
      </c>
      <c r="E583" s="267"/>
      <c r="F583" s="267"/>
      <c r="G583" s="267"/>
      <c r="H583" s="267"/>
      <c r="I583" s="287">
        <v>13</v>
      </c>
      <c r="J583" s="288"/>
      <c r="K583" s="276" t="s">
        <v>1087</v>
      </c>
      <c r="L583" s="33">
        <v>1</v>
      </c>
      <c r="M583" s="157" t="s">
        <v>2276</v>
      </c>
      <c r="N583" s="157"/>
      <c r="O583" s="157" t="s">
        <v>533</v>
      </c>
      <c r="P583" s="163" t="s">
        <v>1115</v>
      </c>
    </row>
    <row r="584" s="92" customFormat="1" ht="20.1" customHeight="1" spans="1:16">
      <c r="A584" s="157" t="s">
        <v>2277</v>
      </c>
      <c r="B584" s="36" t="s">
        <v>2278</v>
      </c>
      <c r="C584" s="267">
        <v>2796</v>
      </c>
      <c r="D584" s="268">
        <f t="shared" si="118"/>
        <v>3461</v>
      </c>
      <c r="E584" s="267"/>
      <c r="F584" s="267"/>
      <c r="G584" s="267">
        <v>47</v>
      </c>
      <c r="H584" s="267"/>
      <c r="I584" s="287">
        <v>3414</v>
      </c>
      <c r="J584" s="288">
        <f t="shared" ref="J584:J590" si="119">ROUND(IF(C584=0,IF(D584=0,0,1),IF(D584=0,-1,D584/C584)),4)*100</f>
        <v>123.78</v>
      </c>
      <c r="K584" s="276" t="s">
        <v>1087</v>
      </c>
      <c r="L584" s="33">
        <v>1</v>
      </c>
      <c r="M584" s="157" t="s">
        <v>2277</v>
      </c>
      <c r="N584" s="157"/>
      <c r="O584" s="157" t="s">
        <v>533</v>
      </c>
      <c r="P584" s="163" t="s">
        <v>2279</v>
      </c>
    </row>
    <row r="585" s="93" customFormat="1" ht="20.1" customHeight="1" spans="1:16">
      <c r="A585" s="263" t="s">
        <v>534</v>
      </c>
      <c r="B585" s="297" t="s">
        <v>300</v>
      </c>
      <c r="C585" s="265">
        <f t="shared" ref="C585:I585" si="120">SUM(C586:C593)</f>
        <v>592</v>
      </c>
      <c r="D585" s="265">
        <f t="shared" si="118"/>
        <v>626</v>
      </c>
      <c r="E585" s="265">
        <f t="shared" si="120"/>
        <v>0</v>
      </c>
      <c r="F585" s="265">
        <f t="shared" si="120"/>
        <v>25</v>
      </c>
      <c r="G585" s="265">
        <f t="shared" si="120"/>
        <v>245</v>
      </c>
      <c r="H585" s="265">
        <f t="shared" si="120"/>
        <v>0</v>
      </c>
      <c r="I585" s="265">
        <f t="shared" si="120"/>
        <v>356</v>
      </c>
      <c r="J585" s="298">
        <f t="shared" si="119"/>
        <v>105.74</v>
      </c>
      <c r="K585" s="284" t="s">
        <v>1082</v>
      </c>
      <c r="L585" s="285"/>
      <c r="M585" s="263" t="s">
        <v>534</v>
      </c>
      <c r="N585" s="263" t="s">
        <v>532</v>
      </c>
      <c r="O585" s="263" t="s">
        <v>534</v>
      </c>
      <c r="P585" s="286" t="s">
        <v>2280</v>
      </c>
    </row>
    <row r="586" s="92" customFormat="1" ht="20.1" customHeight="1" spans="1:16">
      <c r="A586" s="157" t="s">
        <v>2281</v>
      </c>
      <c r="B586" s="36" t="s">
        <v>1086</v>
      </c>
      <c r="C586" s="267">
        <v>211</v>
      </c>
      <c r="D586" s="268">
        <f t="shared" si="118"/>
        <v>223</v>
      </c>
      <c r="E586" s="267"/>
      <c r="F586" s="267"/>
      <c r="G586" s="267"/>
      <c r="H586" s="267"/>
      <c r="I586" s="287">
        <v>223</v>
      </c>
      <c r="J586" s="288">
        <f t="shared" si="119"/>
        <v>105.69</v>
      </c>
      <c r="K586" s="276" t="s">
        <v>1087</v>
      </c>
      <c r="L586" s="33">
        <v>1</v>
      </c>
      <c r="M586" s="157" t="s">
        <v>2281</v>
      </c>
      <c r="N586" s="157"/>
      <c r="O586" s="157" t="s">
        <v>534</v>
      </c>
      <c r="P586" s="164" t="s">
        <v>1088</v>
      </c>
    </row>
    <row r="587" s="92" customFormat="1" ht="20.1" customHeight="1" spans="1:16">
      <c r="A587" s="157" t="s">
        <v>2282</v>
      </c>
      <c r="B587" s="36" t="s">
        <v>1090</v>
      </c>
      <c r="C587" s="267"/>
      <c r="D587" s="268">
        <f t="shared" si="118"/>
        <v>0</v>
      </c>
      <c r="E587" s="267"/>
      <c r="F587" s="267"/>
      <c r="G587" s="267"/>
      <c r="H587" s="267"/>
      <c r="I587" s="287"/>
      <c r="J587" s="288">
        <f t="shared" si="119"/>
        <v>0</v>
      </c>
      <c r="K587" s="276" t="s">
        <v>1087</v>
      </c>
      <c r="L587" s="33">
        <v>1</v>
      </c>
      <c r="M587" s="157" t="s">
        <v>2282</v>
      </c>
      <c r="N587" s="157"/>
      <c r="O587" s="157" t="s">
        <v>534</v>
      </c>
      <c r="P587" s="164" t="s">
        <v>1091</v>
      </c>
    </row>
    <row r="588" s="92" customFormat="1" ht="20.1" customHeight="1" spans="1:16">
      <c r="A588" s="157" t="s">
        <v>2283</v>
      </c>
      <c r="B588" s="36" t="s">
        <v>1093</v>
      </c>
      <c r="C588" s="267"/>
      <c r="D588" s="268">
        <f t="shared" si="118"/>
        <v>0</v>
      </c>
      <c r="E588" s="267"/>
      <c r="F588" s="267"/>
      <c r="G588" s="267"/>
      <c r="H588" s="267"/>
      <c r="I588" s="287"/>
      <c r="J588" s="288">
        <f t="shared" si="119"/>
        <v>0</v>
      </c>
      <c r="K588" s="276" t="s">
        <v>1087</v>
      </c>
      <c r="L588" s="33">
        <v>1</v>
      </c>
      <c r="M588" s="157" t="s">
        <v>2283</v>
      </c>
      <c r="N588" s="157"/>
      <c r="O588" s="157" t="s">
        <v>534</v>
      </c>
      <c r="P588" s="164" t="s">
        <v>1094</v>
      </c>
    </row>
    <row r="589" s="92" customFormat="1" ht="20.1" customHeight="1" spans="1:16">
      <c r="A589" s="157" t="s">
        <v>2284</v>
      </c>
      <c r="B589" s="36" t="s">
        <v>2285</v>
      </c>
      <c r="C589" s="267"/>
      <c r="D589" s="268">
        <f t="shared" si="118"/>
        <v>0</v>
      </c>
      <c r="E589" s="267"/>
      <c r="F589" s="267"/>
      <c r="G589" s="267"/>
      <c r="H589" s="267"/>
      <c r="I589" s="287"/>
      <c r="J589" s="288">
        <f t="shared" si="119"/>
        <v>0</v>
      </c>
      <c r="K589" s="276" t="s">
        <v>1087</v>
      </c>
      <c r="L589" s="33">
        <v>1</v>
      </c>
      <c r="M589" s="157" t="s">
        <v>2284</v>
      </c>
      <c r="N589" s="157"/>
      <c r="O589" s="157" t="s">
        <v>534</v>
      </c>
      <c r="P589" s="163" t="s">
        <v>2286</v>
      </c>
    </row>
    <row r="590" s="92" customFormat="1" ht="20.1" customHeight="1" spans="1:16">
      <c r="A590" s="157" t="s">
        <v>2287</v>
      </c>
      <c r="B590" s="36" t="s">
        <v>2288</v>
      </c>
      <c r="C590" s="267">
        <v>8</v>
      </c>
      <c r="D590" s="268">
        <f t="shared" si="118"/>
        <v>14</v>
      </c>
      <c r="E590" s="267"/>
      <c r="F590" s="267"/>
      <c r="G590" s="267">
        <v>14</v>
      </c>
      <c r="H590" s="267"/>
      <c r="I590" s="287"/>
      <c r="J590" s="288">
        <f t="shared" si="119"/>
        <v>175</v>
      </c>
      <c r="K590" s="276" t="s">
        <v>1087</v>
      </c>
      <c r="L590" s="33">
        <v>1</v>
      </c>
      <c r="M590" s="157" t="s">
        <v>2287</v>
      </c>
      <c r="N590" s="157"/>
      <c r="O590" s="157" t="s">
        <v>534</v>
      </c>
      <c r="P590" s="163" t="s">
        <v>2289</v>
      </c>
    </row>
    <row r="591" s="92" customFormat="1" ht="20.1" customHeight="1" spans="1:17">
      <c r="A591" s="157" t="s">
        <v>2290</v>
      </c>
      <c r="B591" s="36" t="s">
        <v>2291</v>
      </c>
      <c r="C591" s="267">
        <v>2</v>
      </c>
      <c r="D591" s="268">
        <f t="shared" si="118"/>
        <v>0</v>
      </c>
      <c r="E591" s="267"/>
      <c r="F591" s="267"/>
      <c r="G591" s="267"/>
      <c r="H591" s="267"/>
      <c r="I591" s="287"/>
      <c r="J591" s="288"/>
      <c r="K591" s="276" t="s">
        <v>1087</v>
      </c>
      <c r="L591" s="33">
        <v>1</v>
      </c>
      <c r="M591" s="157" t="s">
        <v>2290</v>
      </c>
      <c r="N591" s="157"/>
      <c r="O591" s="157" t="s">
        <v>534</v>
      </c>
      <c r="P591" s="163" t="s">
        <v>2292</v>
      </c>
      <c r="Q591" s="295" t="s">
        <v>1513</v>
      </c>
    </row>
    <row r="592" s="92" customFormat="1" ht="20.1" customHeight="1" spans="1:16">
      <c r="A592" s="157" t="s">
        <v>2293</v>
      </c>
      <c r="B592" s="36" t="s">
        <v>2294</v>
      </c>
      <c r="C592" s="267"/>
      <c r="D592" s="268">
        <f t="shared" si="118"/>
        <v>0</v>
      </c>
      <c r="E592" s="267"/>
      <c r="F592" s="267"/>
      <c r="G592" s="267"/>
      <c r="H592" s="267"/>
      <c r="I592" s="287"/>
      <c r="J592" s="288"/>
      <c r="K592" s="276" t="s">
        <v>1087</v>
      </c>
      <c r="L592" s="33">
        <v>1</v>
      </c>
      <c r="M592" s="157" t="s">
        <v>2293</v>
      </c>
      <c r="N592" s="157"/>
      <c r="O592" s="157" t="s">
        <v>534</v>
      </c>
      <c r="P592" s="163" t="s">
        <v>2295</v>
      </c>
    </row>
    <row r="593" s="92" customFormat="1" ht="20.1" customHeight="1" spans="1:16">
      <c r="A593" s="157" t="s">
        <v>2296</v>
      </c>
      <c r="B593" s="36" t="s">
        <v>2297</v>
      </c>
      <c r="C593" s="267">
        <v>371</v>
      </c>
      <c r="D593" s="268">
        <f t="shared" si="118"/>
        <v>389</v>
      </c>
      <c r="E593" s="267"/>
      <c r="F593" s="267">
        <v>25</v>
      </c>
      <c r="G593" s="267">
        <v>231</v>
      </c>
      <c r="H593" s="267"/>
      <c r="I593" s="287">
        <v>133</v>
      </c>
      <c r="J593" s="288">
        <f t="shared" ref="J593:J602" si="121">ROUND(IF(C593=0,IF(D593=0,0,1),IF(D593=0,-1,D593/C593)),4)*100</f>
        <v>104.85</v>
      </c>
      <c r="K593" s="276" t="s">
        <v>1087</v>
      </c>
      <c r="L593" s="33">
        <v>1</v>
      </c>
      <c r="M593" s="157" t="s">
        <v>2296</v>
      </c>
      <c r="N593" s="157"/>
      <c r="O593" s="157" t="s">
        <v>534</v>
      </c>
      <c r="P593" s="163" t="s">
        <v>2298</v>
      </c>
    </row>
    <row r="594" s="93" customFormat="1" ht="20.1" customHeight="1" spans="1:16">
      <c r="A594" s="263" t="s">
        <v>535</v>
      </c>
      <c r="B594" s="297" t="s">
        <v>301</v>
      </c>
      <c r="C594" s="265">
        <f>SUM(C595)</f>
        <v>0</v>
      </c>
      <c r="D594" s="265">
        <f t="shared" si="118"/>
        <v>0</v>
      </c>
      <c r="E594" s="265">
        <f t="shared" ref="E594:H594" si="122">SUM(E595:E595)</f>
        <v>0</v>
      </c>
      <c r="F594" s="265">
        <f t="shared" si="122"/>
        <v>0</v>
      </c>
      <c r="G594" s="265">
        <f>VLOOKUP(A594,[1]√表四、2024年公共财政支出变动表!$A$7:$R$214,18,FALSE)</f>
        <v>0</v>
      </c>
      <c r="H594" s="265">
        <f t="shared" si="122"/>
        <v>0</v>
      </c>
      <c r="I594" s="265"/>
      <c r="J594" s="298">
        <f t="shared" si="121"/>
        <v>0</v>
      </c>
      <c r="K594" s="284" t="s">
        <v>1082</v>
      </c>
      <c r="L594" s="285"/>
      <c r="M594" s="263" t="s">
        <v>535</v>
      </c>
      <c r="N594" s="263" t="s">
        <v>532</v>
      </c>
      <c r="O594" s="263" t="s">
        <v>535</v>
      </c>
      <c r="P594" s="286" t="s">
        <v>2299</v>
      </c>
    </row>
    <row r="595" s="92" customFormat="1" ht="20.1" customHeight="1" spans="1:16">
      <c r="A595" s="157" t="s">
        <v>2300</v>
      </c>
      <c r="B595" s="36" t="s">
        <v>2301</v>
      </c>
      <c r="C595" s="267"/>
      <c r="D595" s="268">
        <f t="shared" si="118"/>
        <v>0</v>
      </c>
      <c r="E595" s="267"/>
      <c r="F595" s="267"/>
      <c r="G595" s="267"/>
      <c r="H595" s="267"/>
      <c r="I595" s="287"/>
      <c r="J595" s="288">
        <f t="shared" si="121"/>
        <v>0</v>
      </c>
      <c r="K595" s="276" t="s">
        <v>1087</v>
      </c>
      <c r="L595" s="33">
        <v>1</v>
      </c>
      <c r="M595" s="157" t="s">
        <v>2300</v>
      </c>
      <c r="N595" s="157"/>
      <c r="O595" s="157" t="s">
        <v>535</v>
      </c>
      <c r="P595" s="163" t="s">
        <v>2302</v>
      </c>
    </row>
    <row r="596" s="93" customFormat="1" ht="20.1" customHeight="1" spans="1:16">
      <c r="A596" s="263" t="s">
        <v>536</v>
      </c>
      <c r="B596" s="297" t="s">
        <v>537</v>
      </c>
      <c r="C596" s="265">
        <f t="shared" ref="C596:I596" si="123">SUM(C597:C604)</f>
        <v>24162</v>
      </c>
      <c r="D596" s="265">
        <f t="shared" si="118"/>
        <v>28797</v>
      </c>
      <c r="E596" s="265">
        <f t="shared" si="123"/>
        <v>2473</v>
      </c>
      <c r="F596" s="265">
        <f t="shared" si="123"/>
        <v>0</v>
      </c>
      <c r="G596" s="265">
        <f t="shared" si="123"/>
        <v>0</v>
      </c>
      <c r="H596" s="265">
        <f t="shared" si="123"/>
        <v>1000</v>
      </c>
      <c r="I596" s="265">
        <f t="shared" si="123"/>
        <v>25324</v>
      </c>
      <c r="J596" s="298">
        <f t="shared" si="121"/>
        <v>119.18</v>
      </c>
      <c r="K596" s="284" t="s">
        <v>1082</v>
      </c>
      <c r="L596" s="285"/>
      <c r="M596" s="263" t="s">
        <v>536</v>
      </c>
      <c r="N596" s="263" t="s">
        <v>532</v>
      </c>
      <c r="O596" s="263" t="s">
        <v>536</v>
      </c>
      <c r="P596" s="286" t="s">
        <v>2303</v>
      </c>
    </row>
    <row r="597" s="92" customFormat="1" ht="20.1" customHeight="1" spans="1:16">
      <c r="A597" s="157" t="s">
        <v>2304</v>
      </c>
      <c r="B597" s="36" t="s">
        <v>2305</v>
      </c>
      <c r="C597" s="267">
        <v>313</v>
      </c>
      <c r="D597" s="268">
        <f t="shared" si="118"/>
        <v>1785</v>
      </c>
      <c r="E597" s="267"/>
      <c r="F597" s="267"/>
      <c r="G597" s="267"/>
      <c r="H597" s="267">
        <v>35</v>
      </c>
      <c r="I597" s="287">
        <v>1750</v>
      </c>
      <c r="J597" s="288">
        <f t="shared" si="121"/>
        <v>570.29</v>
      </c>
      <c r="K597" s="276" t="s">
        <v>1087</v>
      </c>
      <c r="L597" s="33">
        <v>1</v>
      </c>
      <c r="M597" s="157" t="s">
        <v>2304</v>
      </c>
      <c r="N597" s="157"/>
      <c r="O597" s="157" t="s">
        <v>536</v>
      </c>
      <c r="P597" s="119" t="s">
        <v>2306</v>
      </c>
    </row>
    <row r="598" s="92" customFormat="1" ht="20.1" customHeight="1" spans="1:16">
      <c r="A598" s="157" t="s">
        <v>2307</v>
      </c>
      <c r="B598" s="36" t="s">
        <v>2308</v>
      </c>
      <c r="C598" s="267">
        <v>1098</v>
      </c>
      <c r="D598" s="268">
        <f t="shared" si="118"/>
        <v>3707</v>
      </c>
      <c r="E598" s="267"/>
      <c r="F598" s="267"/>
      <c r="G598" s="267"/>
      <c r="H598" s="267"/>
      <c r="I598" s="287">
        <v>3707</v>
      </c>
      <c r="J598" s="288">
        <f t="shared" si="121"/>
        <v>337.61</v>
      </c>
      <c r="K598" s="276" t="s">
        <v>1087</v>
      </c>
      <c r="L598" s="33">
        <v>1</v>
      </c>
      <c r="M598" s="157" t="s">
        <v>2307</v>
      </c>
      <c r="N598" s="157"/>
      <c r="O598" s="157" t="s">
        <v>536</v>
      </c>
      <c r="P598" s="119" t="s">
        <v>2309</v>
      </c>
    </row>
    <row r="599" s="92" customFormat="1" ht="20.1" customHeight="1" spans="1:16">
      <c r="A599" s="157" t="s">
        <v>2310</v>
      </c>
      <c r="B599" s="36" t="s">
        <v>2311</v>
      </c>
      <c r="C599" s="267"/>
      <c r="D599" s="268">
        <f t="shared" si="118"/>
        <v>0</v>
      </c>
      <c r="E599" s="267"/>
      <c r="F599" s="267"/>
      <c r="G599" s="267"/>
      <c r="H599" s="267"/>
      <c r="I599" s="287"/>
      <c r="J599" s="288">
        <f t="shared" si="121"/>
        <v>0</v>
      </c>
      <c r="K599" s="276" t="s">
        <v>1087</v>
      </c>
      <c r="L599" s="33">
        <v>1</v>
      </c>
      <c r="M599" s="157" t="s">
        <v>2310</v>
      </c>
      <c r="N599" s="157"/>
      <c r="O599" s="157" t="s">
        <v>536</v>
      </c>
      <c r="P599" s="119" t="s">
        <v>2312</v>
      </c>
    </row>
    <row r="600" s="92" customFormat="1" ht="20.1" customHeight="1" spans="1:16">
      <c r="A600" s="157" t="s">
        <v>2313</v>
      </c>
      <c r="B600" s="36" t="s">
        <v>2314</v>
      </c>
      <c r="C600" s="267">
        <v>8826</v>
      </c>
      <c r="D600" s="268">
        <f t="shared" si="118"/>
        <v>11295</v>
      </c>
      <c r="E600" s="267"/>
      <c r="F600" s="267"/>
      <c r="G600" s="267"/>
      <c r="H600" s="267"/>
      <c r="I600" s="287">
        <v>11295</v>
      </c>
      <c r="J600" s="288">
        <f t="shared" si="121"/>
        <v>127.97</v>
      </c>
      <c r="K600" s="276" t="s">
        <v>1087</v>
      </c>
      <c r="L600" s="33">
        <v>1</v>
      </c>
      <c r="M600" s="157" t="s">
        <v>2313</v>
      </c>
      <c r="N600" s="157"/>
      <c r="O600" s="157" t="s">
        <v>536</v>
      </c>
      <c r="P600" s="163" t="s">
        <v>2315</v>
      </c>
    </row>
    <row r="601" s="92" customFormat="1" ht="20.1" customHeight="1" spans="1:16">
      <c r="A601" s="157" t="s">
        <v>2316</v>
      </c>
      <c r="B601" s="36" t="s">
        <v>2317</v>
      </c>
      <c r="C601" s="267">
        <v>6065</v>
      </c>
      <c r="D601" s="268">
        <f t="shared" si="118"/>
        <v>3504</v>
      </c>
      <c r="E601" s="267"/>
      <c r="F601" s="267"/>
      <c r="G601" s="267"/>
      <c r="H601" s="267">
        <v>965</v>
      </c>
      <c r="I601" s="287">
        <v>2539</v>
      </c>
      <c r="J601" s="288">
        <f t="shared" si="121"/>
        <v>57.77</v>
      </c>
      <c r="K601" s="276" t="s">
        <v>1087</v>
      </c>
      <c r="L601" s="33">
        <v>1</v>
      </c>
      <c r="M601" s="157" t="s">
        <v>2316</v>
      </c>
      <c r="N601" s="157"/>
      <c r="O601" s="157" t="s">
        <v>536</v>
      </c>
      <c r="P601" s="163" t="s">
        <v>2318</v>
      </c>
    </row>
    <row r="602" s="92" customFormat="1" ht="20.1" customHeight="1" spans="1:16">
      <c r="A602" s="157" t="s">
        <v>2319</v>
      </c>
      <c r="B602" s="36" t="s">
        <v>2320</v>
      </c>
      <c r="C602" s="267">
        <v>7858</v>
      </c>
      <c r="D602" s="268">
        <f t="shared" si="118"/>
        <v>8506</v>
      </c>
      <c r="E602" s="267">
        <v>2473</v>
      </c>
      <c r="F602" s="267"/>
      <c r="G602" s="267"/>
      <c r="H602" s="267"/>
      <c r="I602" s="287">
        <v>6033</v>
      </c>
      <c r="J602" s="288">
        <f t="shared" si="121"/>
        <v>108.25</v>
      </c>
      <c r="K602" s="276" t="s">
        <v>1087</v>
      </c>
      <c r="L602" s="33">
        <v>1</v>
      </c>
      <c r="M602" s="157" t="s">
        <v>2319</v>
      </c>
      <c r="N602" s="157"/>
      <c r="O602" s="157" t="s">
        <v>536</v>
      </c>
      <c r="P602" s="163" t="s">
        <v>2321</v>
      </c>
    </row>
    <row r="603" s="92" customFormat="1" ht="20.1" customHeight="1" spans="1:16">
      <c r="A603" s="157" t="s">
        <v>2322</v>
      </c>
      <c r="B603" s="36" t="s">
        <v>2323</v>
      </c>
      <c r="C603" s="267"/>
      <c r="D603" s="268">
        <f t="shared" si="118"/>
        <v>0</v>
      </c>
      <c r="E603" s="267"/>
      <c r="F603" s="267"/>
      <c r="G603" s="267"/>
      <c r="H603" s="267"/>
      <c r="I603" s="287"/>
      <c r="J603" s="288"/>
      <c r="K603" s="276" t="s">
        <v>1087</v>
      </c>
      <c r="L603" s="33">
        <v>1</v>
      </c>
      <c r="M603" s="157" t="s">
        <v>2322</v>
      </c>
      <c r="N603" s="157"/>
      <c r="O603" s="157" t="s">
        <v>536</v>
      </c>
      <c r="P603" s="163" t="s">
        <v>2324</v>
      </c>
    </row>
    <row r="604" s="92" customFormat="1" ht="20.1" customHeight="1" spans="1:16">
      <c r="A604" s="157" t="s">
        <v>2325</v>
      </c>
      <c r="B604" s="36" t="s">
        <v>2326</v>
      </c>
      <c r="C604" s="267">
        <v>2</v>
      </c>
      <c r="D604" s="268">
        <f t="shared" si="118"/>
        <v>0</v>
      </c>
      <c r="E604" s="267"/>
      <c r="F604" s="267"/>
      <c r="G604" s="267"/>
      <c r="H604" s="267"/>
      <c r="I604" s="287"/>
      <c r="J604" s="288">
        <f t="shared" ref="J604:J624" si="124">ROUND(IF(C604=0,IF(D604=0,0,1),IF(D604=0,-1,D604/C604)),4)*100</f>
        <v>-100</v>
      </c>
      <c r="K604" s="276" t="s">
        <v>1087</v>
      </c>
      <c r="L604" s="33">
        <v>1</v>
      </c>
      <c r="M604" s="157" t="s">
        <v>2325</v>
      </c>
      <c r="N604" s="157"/>
      <c r="O604" s="157" t="s">
        <v>536</v>
      </c>
      <c r="P604" s="119" t="s">
        <v>2327</v>
      </c>
    </row>
    <row r="605" s="93" customFormat="1" ht="20.1" customHeight="1" spans="1:16">
      <c r="A605" s="263" t="s">
        <v>538</v>
      </c>
      <c r="B605" s="297" t="s">
        <v>303</v>
      </c>
      <c r="C605" s="265">
        <v>0</v>
      </c>
      <c r="D605" s="265">
        <f t="shared" si="118"/>
        <v>0</v>
      </c>
      <c r="E605" s="265">
        <f t="shared" ref="E605:H605" si="125">SUM(E606:E608)</f>
        <v>0</v>
      </c>
      <c r="F605" s="265">
        <f t="shared" si="125"/>
        <v>0</v>
      </c>
      <c r="G605" s="265">
        <f>VLOOKUP(A605,[1]√表四、2024年公共财政支出变动表!$A$7:$R$214,18,FALSE)</f>
        <v>0</v>
      </c>
      <c r="H605" s="265">
        <f t="shared" si="125"/>
        <v>0</v>
      </c>
      <c r="I605" s="265"/>
      <c r="J605" s="298">
        <f t="shared" si="124"/>
        <v>0</v>
      </c>
      <c r="K605" s="284" t="s">
        <v>1082</v>
      </c>
      <c r="L605" s="285"/>
      <c r="M605" s="263" t="s">
        <v>538</v>
      </c>
      <c r="N605" s="263" t="s">
        <v>532</v>
      </c>
      <c r="O605" s="263" t="s">
        <v>538</v>
      </c>
      <c r="P605" s="286" t="s">
        <v>2328</v>
      </c>
    </row>
    <row r="606" s="92" customFormat="1" ht="20.1" customHeight="1" spans="1:16">
      <c r="A606" s="157" t="s">
        <v>2329</v>
      </c>
      <c r="B606" s="36" t="s">
        <v>2330</v>
      </c>
      <c r="C606" s="267">
        <v>0</v>
      </c>
      <c r="D606" s="268">
        <f t="shared" si="118"/>
        <v>0</v>
      </c>
      <c r="E606" s="267"/>
      <c r="F606" s="267"/>
      <c r="G606" s="267"/>
      <c r="H606" s="267"/>
      <c r="I606" s="287"/>
      <c r="J606" s="288">
        <f t="shared" si="124"/>
        <v>0</v>
      </c>
      <c r="K606" s="276" t="s">
        <v>1087</v>
      </c>
      <c r="L606" s="33">
        <v>1</v>
      </c>
      <c r="M606" s="157" t="s">
        <v>2329</v>
      </c>
      <c r="N606" s="157"/>
      <c r="O606" s="157" t="s">
        <v>538</v>
      </c>
      <c r="P606" s="163" t="s">
        <v>2331</v>
      </c>
    </row>
    <row r="607" s="92" customFormat="1" ht="20.1" customHeight="1" spans="1:16">
      <c r="A607" s="157" t="s">
        <v>2332</v>
      </c>
      <c r="B607" s="36" t="s">
        <v>2333</v>
      </c>
      <c r="C607" s="267">
        <v>0</v>
      </c>
      <c r="D607" s="268">
        <f t="shared" si="118"/>
        <v>0</v>
      </c>
      <c r="E607" s="267"/>
      <c r="F607" s="267"/>
      <c r="G607" s="267"/>
      <c r="H607" s="267"/>
      <c r="I607" s="287"/>
      <c r="J607" s="288">
        <f t="shared" si="124"/>
        <v>0</v>
      </c>
      <c r="K607" s="276" t="s">
        <v>1087</v>
      </c>
      <c r="L607" s="33">
        <v>1</v>
      </c>
      <c r="M607" s="157" t="s">
        <v>2332</v>
      </c>
      <c r="N607" s="157"/>
      <c r="O607" s="157" t="s">
        <v>538</v>
      </c>
      <c r="P607" s="163" t="s">
        <v>2334</v>
      </c>
    </row>
    <row r="608" s="92" customFormat="1" ht="20.1" customHeight="1" spans="1:16">
      <c r="A608" s="157" t="s">
        <v>2335</v>
      </c>
      <c r="B608" s="36" t="s">
        <v>2336</v>
      </c>
      <c r="C608" s="267">
        <v>0</v>
      </c>
      <c r="D608" s="268">
        <f t="shared" si="118"/>
        <v>0</v>
      </c>
      <c r="E608" s="267"/>
      <c r="F608" s="267"/>
      <c r="G608" s="267"/>
      <c r="H608" s="267"/>
      <c r="I608" s="287"/>
      <c r="J608" s="288">
        <f t="shared" si="124"/>
        <v>0</v>
      </c>
      <c r="K608" s="276" t="s">
        <v>1087</v>
      </c>
      <c r="L608" s="33">
        <v>1</v>
      </c>
      <c r="M608" s="157" t="s">
        <v>2335</v>
      </c>
      <c r="N608" s="157"/>
      <c r="O608" s="157" t="s">
        <v>538</v>
      </c>
      <c r="P608" s="163" t="s">
        <v>2337</v>
      </c>
    </row>
    <row r="609" s="93" customFormat="1" ht="20.1" customHeight="1" spans="1:16">
      <c r="A609" s="263" t="s">
        <v>539</v>
      </c>
      <c r="B609" s="297" t="s">
        <v>304</v>
      </c>
      <c r="C609" s="265">
        <f t="shared" ref="C609:I609" si="126">SUM(C610:C618)</f>
        <v>1561</v>
      </c>
      <c r="D609" s="265">
        <f t="shared" si="118"/>
        <v>1744</v>
      </c>
      <c r="E609" s="265">
        <f t="shared" si="126"/>
        <v>1188</v>
      </c>
      <c r="F609" s="265">
        <f t="shared" si="126"/>
        <v>0</v>
      </c>
      <c r="G609" s="265">
        <f t="shared" si="126"/>
        <v>556</v>
      </c>
      <c r="H609" s="265">
        <f t="shared" si="126"/>
        <v>0</v>
      </c>
      <c r="I609" s="265">
        <f t="shared" si="126"/>
        <v>0</v>
      </c>
      <c r="J609" s="298">
        <f t="shared" si="124"/>
        <v>111.72</v>
      </c>
      <c r="K609" s="284" t="s">
        <v>1082</v>
      </c>
      <c r="L609" s="285"/>
      <c r="M609" s="263" t="s">
        <v>539</v>
      </c>
      <c r="N609" s="263" t="s">
        <v>532</v>
      </c>
      <c r="O609" s="263" t="s">
        <v>539</v>
      </c>
      <c r="P609" s="286" t="s">
        <v>2338</v>
      </c>
    </row>
    <row r="610" s="92" customFormat="1" ht="20.1" customHeight="1" spans="1:16">
      <c r="A610" s="157" t="s">
        <v>2339</v>
      </c>
      <c r="B610" s="36" t="s">
        <v>2340</v>
      </c>
      <c r="C610" s="267"/>
      <c r="D610" s="268">
        <f t="shared" si="118"/>
        <v>0</v>
      </c>
      <c r="E610" s="267"/>
      <c r="F610" s="267"/>
      <c r="G610" s="267"/>
      <c r="H610" s="267"/>
      <c r="I610" s="287"/>
      <c r="J610" s="288">
        <f t="shared" si="124"/>
        <v>0</v>
      </c>
      <c r="K610" s="276" t="s">
        <v>1087</v>
      </c>
      <c r="L610" s="33">
        <v>1</v>
      </c>
      <c r="M610" s="157" t="s">
        <v>2339</v>
      </c>
      <c r="N610" s="157"/>
      <c r="O610" s="157" t="s">
        <v>539</v>
      </c>
      <c r="P610" s="163" t="s">
        <v>2341</v>
      </c>
    </row>
    <row r="611" s="92" customFormat="1" ht="20.1" customHeight="1" spans="1:16">
      <c r="A611" s="157" t="s">
        <v>2342</v>
      </c>
      <c r="B611" s="36" t="s">
        <v>2343</v>
      </c>
      <c r="C611" s="267">
        <v>10</v>
      </c>
      <c r="D611" s="268">
        <f t="shared" si="118"/>
        <v>410</v>
      </c>
      <c r="E611" s="267">
        <v>166</v>
      </c>
      <c r="F611" s="267"/>
      <c r="G611" s="267">
        <v>244</v>
      </c>
      <c r="H611" s="267"/>
      <c r="I611" s="287"/>
      <c r="J611" s="288">
        <f t="shared" si="124"/>
        <v>4100</v>
      </c>
      <c r="K611" s="276" t="s">
        <v>1087</v>
      </c>
      <c r="L611" s="33">
        <v>1</v>
      </c>
      <c r="M611" s="157" t="s">
        <v>2342</v>
      </c>
      <c r="N611" s="157"/>
      <c r="O611" s="157" t="s">
        <v>539</v>
      </c>
      <c r="P611" s="163" t="s">
        <v>2344</v>
      </c>
    </row>
    <row r="612" s="92" customFormat="1" ht="20.1" customHeight="1" spans="1:16">
      <c r="A612" s="157" t="s">
        <v>2345</v>
      </c>
      <c r="B612" s="36" t="s">
        <v>2346</v>
      </c>
      <c r="C612" s="267">
        <v>173</v>
      </c>
      <c r="D612" s="268">
        <f t="shared" si="118"/>
        <v>145</v>
      </c>
      <c r="E612" s="267">
        <v>144</v>
      </c>
      <c r="F612" s="267"/>
      <c r="G612" s="267">
        <v>1</v>
      </c>
      <c r="H612" s="267"/>
      <c r="I612" s="287"/>
      <c r="J612" s="288">
        <f t="shared" si="124"/>
        <v>83.82</v>
      </c>
      <c r="K612" s="276" t="s">
        <v>1087</v>
      </c>
      <c r="L612" s="33">
        <v>1</v>
      </c>
      <c r="M612" s="157" t="s">
        <v>2345</v>
      </c>
      <c r="N612" s="157"/>
      <c r="O612" s="157" t="s">
        <v>539</v>
      </c>
      <c r="P612" s="163" t="s">
        <v>2347</v>
      </c>
    </row>
    <row r="613" s="92" customFormat="1" ht="20.1" customHeight="1" spans="1:16">
      <c r="A613" s="157" t="s">
        <v>2348</v>
      </c>
      <c r="B613" s="36" t="s">
        <v>2349</v>
      </c>
      <c r="C613" s="267">
        <v>1098</v>
      </c>
      <c r="D613" s="268">
        <f t="shared" si="118"/>
        <v>487</v>
      </c>
      <c r="E613" s="267">
        <v>479</v>
      </c>
      <c r="F613" s="267"/>
      <c r="G613" s="267">
        <v>8</v>
      </c>
      <c r="H613" s="267"/>
      <c r="I613" s="287"/>
      <c r="J613" s="288">
        <f t="shared" si="124"/>
        <v>44.35</v>
      </c>
      <c r="K613" s="276" t="s">
        <v>1087</v>
      </c>
      <c r="L613" s="33">
        <v>1</v>
      </c>
      <c r="M613" s="157" t="s">
        <v>2348</v>
      </c>
      <c r="N613" s="157"/>
      <c r="O613" s="157" t="s">
        <v>539</v>
      </c>
      <c r="P613" s="163" t="s">
        <v>2350</v>
      </c>
    </row>
    <row r="614" s="92" customFormat="1" ht="20.1" customHeight="1" spans="1:16">
      <c r="A614" s="157" t="s">
        <v>2351</v>
      </c>
      <c r="B614" s="36" t="s">
        <v>2352</v>
      </c>
      <c r="C614" s="267"/>
      <c r="D614" s="268">
        <f t="shared" si="118"/>
        <v>0</v>
      </c>
      <c r="E614" s="267"/>
      <c r="F614" s="267"/>
      <c r="G614" s="267"/>
      <c r="H614" s="267"/>
      <c r="I614" s="287"/>
      <c r="J614" s="288">
        <f t="shared" si="124"/>
        <v>0</v>
      </c>
      <c r="K614" s="276" t="s">
        <v>1087</v>
      </c>
      <c r="L614" s="33">
        <v>1</v>
      </c>
      <c r="M614" s="157" t="s">
        <v>2351</v>
      </c>
      <c r="N614" s="157"/>
      <c r="O614" s="157" t="s">
        <v>539</v>
      </c>
      <c r="P614" s="163" t="s">
        <v>2353</v>
      </c>
    </row>
    <row r="615" s="92" customFormat="1" ht="20.1" customHeight="1" spans="1:16">
      <c r="A615" s="157" t="s">
        <v>2354</v>
      </c>
      <c r="B615" s="36" t="s">
        <v>2355</v>
      </c>
      <c r="C615" s="267"/>
      <c r="D615" s="268">
        <f t="shared" si="118"/>
        <v>161</v>
      </c>
      <c r="E615" s="267">
        <v>161</v>
      </c>
      <c r="F615" s="267"/>
      <c r="G615" s="267"/>
      <c r="H615" s="267"/>
      <c r="I615" s="287"/>
      <c r="J615" s="288">
        <f t="shared" si="124"/>
        <v>100</v>
      </c>
      <c r="K615" s="276" t="s">
        <v>1087</v>
      </c>
      <c r="L615" s="33">
        <v>1</v>
      </c>
      <c r="M615" s="157" t="s">
        <v>2354</v>
      </c>
      <c r="N615" s="157"/>
      <c r="O615" s="157" t="s">
        <v>539</v>
      </c>
      <c r="P615" s="163" t="s">
        <v>2356</v>
      </c>
    </row>
    <row r="616" s="92" customFormat="1" ht="20.1" customHeight="1" spans="1:16">
      <c r="A616" s="157" t="s">
        <v>2357</v>
      </c>
      <c r="B616" s="36" t="s">
        <v>2358</v>
      </c>
      <c r="C616" s="267"/>
      <c r="D616" s="268">
        <f t="shared" si="118"/>
        <v>0</v>
      </c>
      <c r="E616" s="267"/>
      <c r="F616" s="267"/>
      <c r="G616" s="267"/>
      <c r="H616" s="267"/>
      <c r="I616" s="287"/>
      <c r="J616" s="288">
        <f t="shared" si="124"/>
        <v>0</v>
      </c>
      <c r="K616" s="276" t="s">
        <v>1087</v>
      </c>
      <c r="L616" s="33">
        <v>1</v>
      </c>
      <c r="M616" s="157" t="s">
        <v>2357</v>
      </c>
      <c r="N616" s="157"/>
      <c r="O616" s="157" t="s">
        <v>539</v>
      </c>
      <c r="P616" s="163" t="s">
        <v>2359</v>
      </c>
    </row>
    <row r="617" s="92" customFormat="1" ht="20.1" customHeight="1" spans="1:16">
      <c r="A617" s="157" t="s">
        <v>2360</v>
      </c>
      <c r="B617" s="36" t="s">
        <v>2361</v>
      </c>
      <c r="C617" s="267"/>
      <c r="D617" s="268">
        <f t="shared" si="118"/>
        <v>0</v>
      </c>
      <c r="E617" s="267"/>
      <c r="F617" s="267"/>
      <c r="G617" s="267"/>
      <c r="H617" s="267"/>
      <c r="I617" s="287"/>
      <c r="J617" s="288">
        <f t="shared" si="124"/>
        <v>0</v>
      </c>
      <c r="K617" s="276" t="s">
        <v>1087</v>
      </c>
      <c r="L617" s="33">
        <v>1</v>
      </c>
      <c r="M617" s="157" t="s">
        <v>2360</v>
      </c>
      <c r="N617" s="157"/>
      <c r="O617" s="157" t="s">
        <v>539</v>
      </c>
      <c r="P617" s="163" t="s">
        <v>2362</v>
      </c>
    </row>
    <row r="618" s="92" customFormat="1" ht="20.1" customHeight="1" spans="1:16">
      <c r="A618" s="157" t="s">
        <v>2363</v>
      </c>
      <c r="B618" s="36" t="s">
        <v>2364</v>
      </c>
      <c r="C618" s="267">
        <v>280</v>
      </c>
      <c r="D618" s="268">
        <f t="shared" si="118"/>
        <v>541</v>
      </c>
      <c r="E618" s="267">
        <v>238</v>
      </c>
      <c r="F618" s="267"/>
      <c r="G618" s="267">
        <v>303</v>
      </c>
      <c r="H618" s="267"/>
      <c r="I618" s="287"/>
      <c r="J618" s="288">
        <f t="shared" si="124"/>
        <v>193.21</v>
      </c>
      <c r="K618" s="276" t="s">
        <v>1087</v>
      </c>
      <c r="L618" s="33">
        <v>1</v>
      </c>
      <c r="M618" s="157" t="s">
        <v>2363</v>
      </c>
      <c r="N618" s="157"/>
      <c r="O618" s="157" t="s">
        <v>539</v>
      </c>
      <c r="P618" s="163" t="s">
        <v>2365</v>
      </c>
    </row>
    <row r="619" s="93" customFormat="1" ht="20.1" customHeight="1" spans="1:16">
      <c r="A619" s="263" t="s">
        <v>540</v>
      </c>
      <c r="B619" s="297" t="s">
        <v>305</v>
      </c>
      <c r="C619" s="265">
        <f t="shared" ref="C619:I619" si="127">SUM(C620:C627)</f>
        <v>2131</v>
      </c>
      <c r="D619" s="265">
        <f t="shared" si="118"/>
        <v>2176</v>
      </c>
      <c r="E619" s="265">
        <f t="shared" si="127"/>
        <v>1750</v>
      </c>
      <c r="F619" s="265">
        <f t="shared" si="127"/>
        <v>0</v>
      </c>
      <c r="G619" s="265">
        <f t="shared" si="127"/>
        <v>49</v>
      </c>
      <c r="H619" s="265">
        <f t="shared" si="127"/>
        <v>0</v>
      </c>
      <c r="I619" s="265">
        <f t="shared" si="127"/>
        <v>377</v>
      </c>
      <c r="J619" s="298">
        <f t="shared" si="124"/>
        <v>102.11</v>
      </c>
      <c r="K619" s="284" t="s">
        <v>1082</v>
      </c>
      <c r="L619" s="285"/>
      <c r="M619" s="263" t="s">
        <v>540</v>
      </c>
      <c r="N619" s="263" t="s">
        <v>532</v>
      </c>
      <c r="O619" s="263" t="s">
        <v>540</v>
      </c>
      <c r="P619" s="286" t="s">
        <v>2366</v>
      </c>
    </row>
    <row r="620" s="92" customFormat="1" ht="20.1" customHeight="1" spans="1:16">
      <c r="A620" s="157" t="s">
        <v>2367</v>
      </c>
      <c r="B620" s="36" t="s">
        <v>2368</v>
      </c>
      <c r="C620" s="267">
        <v>179</v>
      </c>
      <c r="D620" s="268">
        <f t="shared" si="118"/>
        <v>1</v>
      </c>
      <c r="E620" s="267"/>
      <c r="F620" s="267"/>
      <c r="G620" s="267">
        <v>1</v>
      </c>
      <c r="H620" s="267"/>
      <c r="I620" s="287"/>
      <c r="J620" s="288">
        <f t="shared" si="124"/>
        <v>0.56</v>
      </c>
      <c r="K620" s="276" t="s">
        <v>1087</v>
      </c>
      <c r="L620" s="33">
        <v>1</v>
      </c>
      <c r="M620" s="157" t="s">
        <v>2367</v>
      </c>
      <c r="N620" s="157"/>
      <c r="O620" s="157" t="s">
        <v>540</v>
      </c>
      <c r="P620" s="163" t="s">
        <v>2369</v>
      </c>
    </row>
    <row r="621" s="92" customFormat="1" ht="20.1" customHeight="1" spans="1:16">
      <c r="A621" s="157" t="s">
        <v>2370</v>
      </c>
      <c r="B621" s="36" t="s">
        <v>2371</v>
      </c>
      <c r="C621" s="267">
        <v>197</v>
      </c>
      <c r="D621" s="268">
        <f t="shared" si="118"/>
        <v>11</v>
      </c>
      <c r="E621" s="267"/>
      <c r="F621" s="267"/>
      <c r="G621" s="267">
        <v>7</v>
      </c>
      <c r="H621" s="267"/>
      <c r="I621" s="287">
        <v>4</v>
      </c>
      <c r="J621" s="288">
        <f t="shared" si="124"/>
        <v>5.58</v>
      </c>
      <c r="K621" s="276" t="s">
        <v>1087</v>
      </c>
      <c r="L621" s="33">
        <v>1</v>
      </c>
      <c r="M621" s="157" t="s">
        <v>2370</v>
      </c>
      <c r="N621" s="157"/>
      <c r="O621" s="157" t="s">
        <v>540</v>
      </c>
      <c r="P621" s="163" t="s">
        <v>2372</v>
      </c>
    </row>
    <row r="622" s="92" customFormat="1" ht="20.1" customHeight="1" spans="1:16">
      <c r="A622" s="157" t="s">
        <v>2373</v>
      </c>
      <c r="B622" s="36" t="s">
        <v>2374</v>
      </c>
      <c r="C622" s="267">
        <v>1038</v>
      </c>
      <c r="D622" s="268">
        <f t="shared" si="118"/>
        <v>60</v>
      </c>
      <c r="E622" s="267"/>
      <c r="F622" s="267"/>
      <c r="G622" s="267">
        <v>24</v>
      </c>
      <c r="H622" s="267"/>
      <c r="I622" s="287">
        <v>36</v>
      </c>
      <c r="J622" s="288">
        <f t="shared" si="124"/>
        <v>5.78</v>
      </c>
      <c r="K622" s="276" t="s">
        <v>1087</v>
      </c>
      <c r="L622" s="33">
        <v>1</v>
      </c>
      <c r="M622" s="157" t="s">
        <v>2373</v>
      </c>
      <c r="N622" s="157"/>
      <c r="O622" s="157" t="s">
        <v>540</v>
      </c>
      <c r="P622" s="163" t="s">
        <v>2375</v>
      </c>
    </row>
    <row r="623" s="92" customFormat="1" ht="20.1" customHeight="1" spans="1:16">
      <c r="A623" s="157" t="s">
        <v>2376</v>
      </c>
      <c r="B623" s="36" t="s">
        <v>2377</v>
      </c>
      <c r="C623" s="267">
        <v>386</v>
      </c>
      <c r="D623" s="268">
        <f t="shared" si="118"/>
        <v>531</v>
      </c>
      <c r="E623" s="267">
        <v>291</v>
      </c>
      <c r="F623" s="267"/>
      <c r="G623" s="267">
        <v>9</v>
      </c>
      <c r="H623" s="267"/>
      <c r="I623" s="287">
        <v>231</v>
      </c>
      <c r="J623" s="288">
        <f t="shared" si="124"/>
        <v>137.56</v>
      </c>
      <c r="K623" s="276" t="s">
        <v>1087</v>
      </c>
      <c r="L623" s="33">
        <v>1</v>
      </c>
      <c r="M623" s="157" t="s">
        <v>2376</v>
      </c>
      <c r="N623" s="157"/>
      <c r="O623" s="157" t="s">
        <v>540</v>
      </c>
      <c r="P623" s="163" t="s">
        <v>2378</v>
      </c>
    </row>
    <row r="624" s="92" customFormat="1" ht="20.1" customHeight="1" spans="1:16">
      <c r="A624" s="157" t="s">
        <v>2379</v>
      </c>
      <c r="B624" s="36" t="s">
        <v>2380</v>
      </c>
      <c r="C624" s="267">
        <v>220</v>
      </c>
      <c r="D624" s="268">
        <f t="shared" si="118"/>
        <v>0</v>
      </c>
      <c r="E624" s="267"/>
      <c r="F624" s="267"/>
      <c r="G624" s="267"/>
      <c r="H624" s="267"/>
      <c r="I624" s="287"/>
      <c r="J624" s="288">
        <f t="shared" si="124"/>
        <v>-100</v>
      </c>
      <c r="K624" s="276" t="s">
        <v>1087</v>
      </c>
      <c r="L624" s="33">
        <v>1</v>
      </c>
      <c r="M624" s="157" t="s">
        <v>2379</v>
      </c>
      <c r="N624" s="157"/>
      <c r="O624" s="157" t="s">
        <v>540</v>
      </c>
      <c r="P624" s="163" t="s">
        <v>2381</v>
      </c>
    </row>
    <row r="625" s="92" customFormat="1" ht="20.1" customHeight="1" spans="1:16">
      <c r="A625" s="157" t="s">
        <v>2382</v>
      </c>
      <c r="B625" s="300" t="s">
        <v>2383</v>
      </c>
      <c r="C625" s="267"/>
      <c r="D625" s="268">
        <f t="shared" si="118"/>
        <v>0</v>
      </c>
      <c r="E625" s="267"/>
      <c r="F625" s="267"/>
      <c r="G625" s="267"/>
      <c r="H625" s="267"/>
      <c r="I625" s="287"/>
      <c r="J625" s="288"/>
      <c r="K625" s="276" t="s">
        <v>1087</v>
      </c>
      <c r="L625" s="33">
        <v>1</v>
      </c>
      <c r="M625" s="157" t="s">
        <v>2382</v>
      </c>
      <c r="N625" s="157"/>
      <c r="O625" s="157" t="s">
        <v>540</v>
      </c>
      <c r="P625" s="303" t="s">
        <v>2384</v>
      </c>
    </row>
    <row r="626" s="92" customFormat="1" ht="20.1" customHeight="1" spans="1:16">
      <c r="A626" s="301" t="s">
        <v>2385</v>
      </c>
      <c r="B626" s="302" t="s">
        <v>2386</v>
      </c>
      <c r="C626" s="267">
        <v>14</v>
      </c>
      <c r="D626" s="268">
        <f t="shared" si="118"/>
        <v>0</v>
      </c>
      <c r="E626" s="267"/>
      <c r="F626" s="267"/>
      <c r="G626" s="267"/>
      <c r="H626" s="267"/>
      <c r="I626" s="287"/>
      <c r="J626" s="288">
        <f t="shared" ref="J626:J640" si="128">ROUND(IF(C626=0,IF(D626=0,0,1),IF(D626=0,-1,D626/C626)),4)*100</f>
        <v>-100</v>
      </c>
      <c r="K626" s="276" t="s">
        <v>1087</v>
      </c>
      <c r="L626" s="33">
        <v>1</v>
      </c>
      <c r="M626" s="157" t="s">
        <v>2379</v>
      </c>
      <c r="N626" s="157"/>
      <c r="O626" s="157" t="s">
        <v>540</v>
      </c>
      <c r="P626" s="304" t="s">
        <v>2387</v>
      </c>
    </row>
    <row r="627" s="92" customFormat="1" ht="20.1" customHeight="1" spans="1:16">
      <c r="A627" s="157" t="s">
        <v>2388</v>
      </c>
      <c r="B627" s="36" t="s">
        <v>2389</v>
      </c>
      <c r="C627" s="267">
        <v>97</v>
      </c>
      <c r="D627" s="268">
        <f t="shared" si="118"/>
        <v>1573</v>
      </c>
      <c r="E627" s="267">
        <v>1459</v>
      </c>
      <c r="F627" s="267"/>
      <c r="G627" s="267">
        <v>8</v>
      </c>
      <c r="H627" s="267"/>
      <c r="I627" s="287">
        <v>106</v>
      </c>
      <c r="J627" s="288">
        <f t="shared" si="128"/>
        <v>1621.65</v>
      </c>
      <c r="K627" s="276" t="s">
        <v>1087</v>
      </c>
      <c r="L627" s="33">
        <v>1</v>
      </c>
      <c r="M627" s="157" t="s">
        <v>2388</v>
      </c>
      <c r="N627" s="157"/>
      <c r="O627" s="157" t="s">
        <v>540</v>
      </c>
      <c r="P627" s="163" t="s">
        <v>2390</v>
      </c>
    </row>
    <row r="628" s="93" customFormat="1" ht="20.1" customHeight="1" spans="1:16">
      <c r="A628" s="263" t="s">
        <v>541</v>
      </c>
      <c r="B628" s="297" t="s">
        <v>306</v>
      </c>
      <c r="C628" s="265">
        <f t="shared" ref="C628:I628" si="129">SUM(C629:C634)</f>
        <v>203</v>
      </c>
      <c r="D628" s="265">
        <f t="shared" si="118"/>
        <v>298</v>
      </c>
      <c r="E628" s="265">
        <f t="shared" si="129"/>
        <v>151</v>
      </c>
      <c r="F628" s="265">
        <f t="shared" si="129"/>
        <v>0</v>
      </c>
      <c r="G628" s="265">
        <f t="shared" si="129"/>
        <v>58</v>
      </c>
      <c r="H628" s="265">
        <f t="shared" si="129"/>
        <v>0</v>
      </c>
      <c r="I628" s="265">
        <f t="shared" si="129"/>
        <v>89</v>
      </c>
      <c r="J628" s="298">
        <f t="shared" si="128"/>
        <v>146.8</v>
      </c>
      <c r="K628" s="284" t="s">
        <v>1082</v>
      </c>
      <c r="L628" s="285"/>
      <c r="M628" s="263" t="s">
        <v>541</v>
      </c>
      <c r="N628" s="263" t="s">
        <v>532</v>
      </c>
      <c r="O628" s="263" t="s">
        <v>541</v>
      </c>
      <c r="P628" s="286" t="s">
        <v>2391</v>
      </c>
    </row>
    <row r="629" s="252" customFormat="1" ht="20.1" customHeight="1" spans="1:16">
      <c r="A629" s="157" t="s">
        <v>2392</v>
      </c>
      <c r="B629" s="36" t="s">
        <v>2393</v>
      </c>
      <c r="C629" s="267">
        <v>187</v>
      </c>
      <c r="D629" s="268">
        <f t="shared" si="118"/>
        <v>208</v>
      </c>
      <c r="E629" s="267">
        <v>125</v>
      </c>
      <c r="F629" s="267"/>
      <c r="G629" s="267">
        <v>18</v>
      </c>
      <c r="H629" s="267"/>
      <c r="I629" s="287">
        <v>65</v>
      </c>
      <c r="J629" s="288">
        <f t="shared" si="128"/>
        <v>111.23</v>
      </c>
      <c r="K629" s="276" t="s">
        <v>1087</v>
      </c>
      <c r="L629" s="33">
        <v>1</v>
      </c>
      <c r="M629" s="157" t="s">
        <v>2392</v>
      </c>
      <c r="N629" s="157"/>
      <c r="O629" s="157" t="s">
        <v>541</v>
      </c>
      <c r="P629" s="163" t="s">
        <v>2394</v>
      </c>
    </row>
    <row r="630" s="252" customFormat="1" ht="20.1" customHeight="1" spans="1:16">
      <c r="A630" s="157" t="s">
        <v>2395</v>
      </c>
      <c r="B630" s="36" t="s">
        <v>2396</v>
      </c>
      <c r="C630" s="267">
        <v>10</v>
      </c>
      <c r="D630" s="268">
        <f t="shared" si="118"/>
        <v>3</v>
      </c>
      <c r="E630" s="267"/>
      <c r="F630" s="267"/>
      <c r="G630" s="267">
        <v>3</v>
      </c>
      <c r="H630" s="267"/>
      <c r="I630" s="287"/>
      <c r="J630" s="288">
        <f t="shared" si="128"/>
        <v>30</v>
      </c>
      <c r="K630" s="276" t="s">
        <v>1087</v>
      </c>
      <c r="L630" s="33">
        <v>1</v>
      </c>
      <c r="M630" s="157" t="s">
        <v>2395</v>
      </c>
      <c r="N630" s="157"/>
      <c r="O630" s="157" t="s">
        <v>541</v>
      </c>
      <c r="P630" s="163" t="s">
        <v>2397</v>
      </c>
    </row>
    <row r="631" s="92" customFormat="1" ht="20.1" customHeight="1" spans="1:16">
      <c r="A631" s="157" t="s">
        <v>2398</v>
      </c>
      <c r="B631" s="36" t="s">
        <v>2399</v>
      </c>
      <c r="C631" s="267">
        <v>1</v>
      </c>
      <c r="D631" s="268">
        <f t="shared" si="118"/>
        <v>3</v>
      </c>
      <c r="E631" s="267"/>
      <c r="F631" s="267"/>
      <c r="G631" s="267">
        <v>3</v>
      </c>
      <c r="H631" s="267"/>
      <c r="I631" s="287"/>
      <c r="J631" s="288">
        <f t="shared" si="128"/>
        <v>300</v>
      </c>
      <c r="K631" s="276" t="s">
        <v>1087</v>
      </c>
      <c r="L631" s="33">
        <v>1</v>
      </c>
      <c r="M631" s="157" t="s">
        <v>2398</v>
      </c>
      <c r="N631" s="157"/>
      <c r="O631" s="157" t="s">
        <v>541</v>
      </c>
      <c r="P631" s="163" t="s">
        <v>2400</v>
      </c>
    </row>
    <row r="632" s="92" customFormat="1" ht="20.1" customHeight="1" spans="1:16">
      <c r="A632" s="157" t="s">
        <v>2401</v>
      </c>
      <c r="B632" s="36" t="s">
        <v>2402</v>
      </c>
      <c r="C632" s="267"/>
      <c r="D632" s="268">
        <f t="shared" si="118"/>
        <v>30</v>
      </c>
      <c r="E632" s="267"/>
      <c r="F632" s="267"/>
      <c r="G632" s="267">
        <v>30</v>
      </c>
      <c r="H632" s="267"/>
      <c r="I632" s="287"/>
      <c r="J632" s="288">
        <f t="shared" si="128"/>
        <v>100</v>
      </c>
      <c r="K632" s="276" t="s">
        <v>1087</v>
      </c>
      <c r="L632" s="33">
        <v>1</v>
      </c>
      <c r="M632" s="157" t="s">
        <v>2401</v>
      </c>
      <c r="N632" s="157"/>
      <c r="O632" s="157" t="s">
        <v>541</v>
      </c>
      <c r="P632" s="163" t="s">
        <v>2403</v>
      </c>
    </row>
    <row r="633" s="92" customFormat="1" ht="20.1" customHeight="1" spans="1:16">
      <c r="A633" s="157" t="s">
        <v>2404</v>
      </c>
      <c r="B633" s="36" t="s">
        <v>2405</v>
      </c>
      <c r="C633" s="267">
        <v>5</v>
      </c>
      <c r="D633" s="268">
        <f t="shared" ref="D633:D696" si="130">SUM(E633:I633)</f>
        <v>27</v>
      </c>
      <c r="E633" s="267">
        <v>6</v>
      </c>
      <c r="F633" s="267"/>
      <c r="G633" s="267">
        <v>1</v>
      </c>
      <c r="H633" s="267"/>
      <c r="I633" s="287">
        <v>20</v>
      </c>
      <c r="J633" s="288">
        <f t="shared" si="128"/>
        <v>540</v>
      </c>
      <c r="K633" s="276" t="s">
        <v>1087</v>
      </c>
      <c r="L633" s="33">
        <v>1</v>
      </c>
      <c r="M633" s="157" t="s">
        <v>2404</v>
      </c>
      <c r="N633" s="157"/>
      <c r="O633" s="157" t="s">
        <v>541</v>
      </c>
      <c r="P633" s="164" t="s">
        <v>2406</v>
      </c>
    </row>
    <row r="634" s="92" customFormat="1" ht="20.1" customHeight="1" spans="1:16">
      <c r="A634" s="157" t="s">
        <v>2407</v>
      </c>
      <c r="B634" s="36" t="s">
        <v>2408</v>
      </c>
      <c r="C634" s="267"/>
      <c r="D634" s="268">
        <f t="shared" si="130"/>
        <v>27</v>
      </c>
      <c r="E634" s="267">
        <v>20</v>
      </c>
      <c r="F634" s="267"/>
      <c r="G634" s="267">
        <v>3</v>
      </c>
      <c r="H634" s="267"/>
      <c r="I634" s="287">
        <v>4</v>
      </c>
      <c r="J634" s="288">
        <f t="shared" si="128"/>
        <v>100</v>
      </c>
      <c r="K634" s="276" t="s">
        <v>1087</v>
      </c>
      <c r="L634" s="33">
        <v>1</v>
      </c>
      <c r="M634" s="157" t="s">
        <v>2407</v>
      </c>
      <c r="N634" s="157"/>
      <c r="O634" s="157" t="s">
        <v>541</v>
      </c>
      <c r="P634" s="163" t="s">
        <v>2409</v>
      </c>
    </row>
    <row r="635" s="93" customFormat="1" ht="20.1" customHeight="1" spans="1:16">
      <c r="A635" s="263" t="s">
        <v>542</v>
      </c>
      <c r="B635" s="297" t="s">
        <v>307</v>
      </c>
      <c r="C635" s="265">
        <f t="shared" ref="C635:I635" si="131">SUM(C636:C642)</f>
        <v>930</v>
      </c>
      <c r="D635" s="265">
        <f t="shared" si="130"/>
        <v>1092</v>
      </c>
      <c r="E635" s="265">
        <f t="shared" si="131"/>
        <v>138</v>
      </c>
      <c r="F635" s="265">
        <f t="shared" si="131"/>
        <v>2</v>
      </c>
      <c r="G635" s="265">
        <f t="shared" si="131"/>
        <v>108</v>
      </c>
      <c r="H635" s="265">
        <f t="shared" si="131"/>
        <v>34</v>
      </c>
      <c r="I635" s="265">
        <f t="shared" si="131"/>
        <v>810</v>
      </c>
      <c r="J635" s="298">
        <f t="shared" si="128"/>
        <v>117.42</v>
      </c>
      <c r="K635" s="284" t="s">
        <v>1082</v>
      </c>
      <c r="L635" s="285"/>
      <c r="M635" s="263" t="s">
        <v>542</v>
      </c>
      <c r="N635" s="263" t="s">
        <v>532</v>
      </c>
      <c r="O635" s="263" t="s">
        <v>542</v>
      </c>
      <c r="P635" s="286" t="s">
        <v>2410</v>
      </c>
    </row>
    <row r="636" s="252" customFormat="1" ht="20.1" customHeight="1" spans="1:16">
      <c r="A636" s="157" t="s">
        <v>2411</v>
      </c>
      <c r="B636" s="36" t="s">
        <v>2412</v>
      </c>
      <c r="C636" s="267">
        <v>134</v>
      </c>
      <c r="D636" s="268">
        <f t="shared" si="130"/>
        <v>153</v>
      </c>
      <c r="E636" s="267">
        <v>138</v>
      </c>
      <c r="F636" s="267"/>
      <c r="G636" s="267"/>
      <c r="H636" s="267"/>
      <c r="I636" s="287">
        <v>15</v>
      </c>
      <c r="J636" s="288">
        <f t="shared" si="128"/>
        <v>114.18</v>
      </c>
      <c r="K636" s="276" t="s">
        <v>1087</v>
      </c>
      <c r="L636" s="33">
        <v>1</v>
      </c>
      <c r="M636" s="157" t="s">
        <v>2411</v>
      </c>
      <c r="N636" s="157"/>
      <c r="O636" s="157" t="s">
        <v>542</v>
      </c>
      <c r="P636" s="163" t="s">
        <v>2413</v>
      </c>
    </row>
    <row r="637" s="252" customFormat="1" ht="20.1" customHeight="1" spans="1:16">
      <c r="A637" s="157" t="s">
        <v>2414</v>
      </c>
      <c r="B637" s="36" t="s">
        <v>2415</v>
      </c>
      <c r="C637" s="267">
        <v>796</v>
      </c>
      <c r="D637" s="268">
        <f t="shared" si="130"/>
        <v>937</v>
      </c>
      <c r="E637" s="267"/>
      <c r="F637" s="267"/>
      <c r="G637" s="267">
        <v>108</v>
      </c>
      <c r="H637" s="267">
        <v>34</v>
      </c>
      <c r="I637" s="287">
        <v>795</v>
      </c>
      <c r="J637" s="288">
        <f t="shared" si="128"/>
        <v>117.71</v>
      </c>
      <c r="K637" s="276" t="s">
        <v>1087</v>
      </c>
      <c r="L637" s="33">
        <v>1</v>
      </c>
      <c r="M637" s="157" t="s">
        <v>2414</v>
      </c>
      <c r="N637" s="157"/>
      <c r="O637" s="157" t="s">
        <v>542</v>
      </c>
      <c r="P637" s="163" t="s">
        <v>2416</v>
      </c>
    </row>
    <row r="638" s="252" customFormat="1" ht="20.1" customHeight="1" spans="1:16">
      <c r="A638" s="157" t="s">
        <v>2417</v>
      </c>
      <c r="B638" s="36" t="s">
        <v>2418</v>
      </c>
      <c r="C638" s="267"/>
      <c r="D638" s="268">
        <f t="shared" si="130"/>
        <v>0</v>
      </c>
      <c r="E638" s="267"/>
      <c r="F638" s="267"/>
      <c r="G638" s="267"/>
      <c r="H638" s="267"/>
      <c r="I638" s="287"/>
      <c r="J638" s="288">
        <f t="shared" si="128"/>
        <v>0</v>
      </c>
      <c r="K638" s="276" t="s">
        <v>1087</v>
      </c>
      <c r="L638" s="33">
        <v>1</v>
      </c>
      <c r="M638" s="157" t="s">
        <v>2417</v>
      </c>
      <c r="N638" s="157"/>
      <c r="O638" s="157" t="s">
        <v>542</v>
      </c>
      <c r="P638" s="119" t="s">
        <v>2419</v>
      </c>
    </row>
    <row r="639" s="92" customFormat="1" ht="20.1" customHeight="1" spans="1:16">
      <c r="A639" s="157" t="s">
        <v>2420</v>
      </c>
      <c r="B639" s="36" t="s">
        <v>2421</v>
      </c>
      <c r="C639" s="267"/>
      <c r="D639" s="268">
        <f t="shared" si="130"/>
        <v>0</v>
      </c>
      <c r="E639" s="267"/>
      <c r="F639" s="267"/>
      <c r="G639" s="267"/>
      <c r="H639" s="267"/>
      <c r="I639" s="287"/>
      <c r="J639" s="288">
        <f t="shared" si="128"/>
        <v>0</v>
      </c>
      <c r="K639" s="276" t="s">
        <v>1087</v>
      </c>
      <c r="L639" s="33">
        <v>1</v>
      </c>
      <c r="M639" s="157" t="s">
        <v>2420</v>
      </c>
      <c r="N639" s="157"/>
      <c r="O639" s="157" t="s">
        <v>542</v>
      </c>
      <c r="P639" s="119" t="s">
        <v>2422</v>
      </c>
    </row>
    <row r="640" s="92" customFormat="1" ht="20.1" customHeight="1" spans="1:16">
      <c r="A640" s="157" t="s">
        <v>2423</v>
      </c>
      <c r="B640" s="36" t="s">
        <v>2424</v>
      </c>
      <c r="C640" s="267"/>
      <c r="D640" s="268">
        <f t="shared" si="130"/>
        <v>0</v>
      </c>
      <c r="E640" s="267"/>
      <c r="F640" s="267"/>
      <c r="G640" s="267"/>
      <c r="H640" s="267"/>
      <c r="I640" s="287"/>
      <c r="J640" s="288">
        <f t="shared" si="128"/>
        <v>0</v>
      </c>
      <c r="K640" s="276" t="s">
        <v>1087</v>
      </c>
      <c r="L640" s="33">
        <v>1</v>
      </c>
      <c r="M640" s="157" t="s">
        <v>2423</v>
      </c>
      <c r="N640" s="157"/>
      <c r="O640" s="157" t="s">
        <v>542</v>
      </c>
      <c r="P640" s="119" t="s">
        <v>2425</v>
      </c>
    </row>
    <row r="641" s="92" customFormat="1" ht="20.1" customHeight="1" spans="1:16">
      <c r="A641" s="157" t="s">
        <v>2426</v>
      </c>
      <c r="B641" s="36" t="s">
        <v>2427</v>
      </c>
      <c r="C641" s="267"/>
      <c r="D641" s="268">
        <f t="shared" si="130"/>
        <v>0</v>
      </c>
      <c r="E641" s="267"/>
      <c r="F641" s="267"/>
      <c r="G641" s="267"/>
      <c r="H641" s="267"/>
      <c r="I641" s="287"/>
      <c r="J641" s="288"/>
      <c r="K641" s="276" t="s">
        <v>1087</v>
      </c>
      <c r="L641" s="33">
        <v>1</v>
      </c>
      <c r="M641" s="157" t="s">
        <v>2426</v>
      </c>
      <c r="N641" s="157"/>
      <c r="O641" s="157" t="s">
        <v>542</v>
      </c>
      <c r="P641" s="119" t="s">
        <v>2428</v>
      </c>
    </row>
    <row r="642" s="92" customFormat="1" ht="20.1" customHeight="1" spans="1:16">
      <c r="A642" s="157" t="s">
        <v>2429</v>
      </c>
      <c r="B642" s="36" t="s">
        <v>2430</v>
      </c>
      <c r="C642" s="267"/>
      <c r="D642" s="268">
        <f t="shared" si="130"/>
        <v>2</v>
      </c>
      <c r="E642" s="267"/>
      <c r="F642" s="267">
        <v>2</v>
      </c>
      <c r="G642" s="267"/>
      <c r="H642" s="267"/>
      <c r="I642" s="287"/>
      <c r="J642" s="288">
        <f t="shared" ref="J642:J655" si="132">ROUND(IF(C642=0,IF(D642=0,0,1),IF(D642=0,-1,D642/C642)),4)*100</f>
        <v>100</v>
      </c>
      <c r="K642" s="276" t="s">
        <v>1087</v>
      </c>
      <c r="L642" s="33">
        <v>1</v>
      </c>
      <c r="M642" s="157" t="s">
        <v>2429</v>
      </c>
      <c r="N642" s="157"/>
      <c r="O642" s="157" t="s">
        <v>542</v>
      </c>
      <c r="P642" s="163" t="s">
        <v>2431</v>
      </c>
    </row>
    <row r="643" s="93" customFormat="1" ht="20.1" customHeight="1" spans="1:16">
      <c r="A643" s="263" t="s">
        <v>543</v>
      </c>
      <c r="B643" s="297" t="s">
        <v>308</v>
      </c>
      <c r="C643" s="265">
        <f t="shared" ref="C643:I643" si="133">SUM(C644:C651)</f>
        <v>1493</v>
      </c>
      <c r="D643" s="265">
        <f t="shared" si="130"/>
        <v>1853</v>
      </c>
      <c r="E643" s="265">
        <f t="shared" si="133"/>
        <v>1181</v>
      </c>
      <c r="F643" s="265">
        <f t="shared" si="133"/>
        <v>0</v>
      </c>
      <c r="G643" s="265">
        <f t="shared" si="133"/>
        <v>273</v>
      </c>
      <c r="H643" s="265">
        <f t="shared" si="133"/>
        <v>0</v>
      </c>
      <c r="I643" s="265">
        <f t="shared" si="133"/>
        <v>399</v>
      </c>
      <c r="J643" s="298">
        <f t="shared" si="132"/>
        <v>124.11</v>
      </c>
      <c r="K643" s="284" t="s">
        <v>1082</v>
      </c>
      <c r="L643" s="285"/>
      <c r="M643" s="263" t="s">
        <v>543</v>
      </c>
      <c r="N643" s="263" t="s">
        <v>532</v>
      </c>
      <c r="O643" s="263" t="s">
        <v>543</v>
      </c>
      <c r="P643" s="286" t="s">
        <v>2432</v>
      </c>
    </row>
    <row r="644" s="92" customFormat="1" ht="20.1" customHeight="1" spans="1:16">
      <c r="A644" s="157" t="s">
        <v>2433</v>
      </c>
      <c r="B644" s="36" t="s">
        <v>1086</v>
      </c>
      <c r="C644" s="267">
        <v>91</v>
      </c>
      <c r="D644" s="268">
        <f t="shared" si="130"/>
        <v>107</v>
      </c>
      <c r="E644" s="267"/>
      <c r="F644" s="267"/>
      <c r="G644" s="267"/>
      <c r="H644" s="267"/>
      <c r="I644" s="287">
        <v>107</v>
      </c>
      <c r="J644" s="288">
        <f t="shared" si="132"/>
        <v>117.58</v>
      </c>
      <c r="K644" s="276" t="s">
        <v>1087</v>
      </c>
      <c r="L644" s="33">
        <v>1</v>
      </c>
      <c r="M644" s="157" t="s">
        <v>2433</v>
      </c>
      <c r="N644" s="157"/>
      <c r="O644" s="157" t="s">
        <v>543</v>
      </c>
      <c r="P644" s="164" t="s">
        <v>1088</v>
      </c>
    </row>
    <row r="645" s="92" customFormat="1" ht="20.1" customHeight="1" spans="1:16">
      <c r="A645" s="157" t="s">
        <v>2434</v>
      </c>
      <c r="B645" s="36" t="s">
        <v>1090</v>
      </c>
      <c r="C645" s="267"/>
      <c r="D645" s="268">
        <f t="shared" si="130"/>
        <v>0</v>
      </c>
      <c r="E645" s="267"/>
      <c r="F645" s="267"/>
      <c r="G645" s="267"/>
      <c r="H645" s="267"/>
      <c r="I645" s="287"/>
      <c r="J645" s="288">
        <f t="shared" si="132"/>
        <v>0</v>
      </c>
      <c r="K645" s="276" t="s">
        <v>1087</v>
      </c>
      <c r="L645" s="33">
        <v>1</v>
      </c>
      <c r="M645" s="157" t="s">
        <v>2434</v>
      </c>
      <c r="N645" s="157"/>
      <c r="O645" s="157" t="s">
        <v>543</v>
      </c>
      <c r="P645" s="164" t="s">
        <v>1091</v>
      </c>
    </row>
    <row r="646" s="92" customFormat="1" ht="20.1" customHeight="1" spans="1:16">
      <c r="A646" s="157" t="s">
        <v>2435</v>
      </c>
      <c r="B646" s="36" t="s">
        <v>1093</v>
      </c>
      <c r="C646" s="267"/>
      <c r="D646" s="268">
        <f t="shared" si="130"/>
        <v>0</v>
      </c>
      <c r="E646" s="267"/>
      <c r="F646" s="267"/>
      <c r="G646" s="267"/>
      <c r="H646" s="267"/>
      <c r="I646" s="287"/>
      <c r="J646" s="288">
        <f t="shared" si="132"/>
        <v>0</v>
      </c>
      <c r="K646" s="276" t="s">
        <v>1087</v>
      </c>
      <c r="L646" s="33">
        <v>1</v>
      </c>
      <c r="M646" s="157" t="s">
        <v>2435</v>
      </c>
      <c r="N646" s="157"/>
      <c r="O646" s="157" t="s">
        <v>543</v>
      </c>
      <c r="P646" s="164" t="s">
        <v>1094</v>
      </c>
    </row>
    <row r="647" s="92" customFormat="1" ht="20.1" customHeight="1" spans="1:16">
      <c r="A647" s="157" t="s">
        <v>2436</v>
      </c>
      <c r="B647" s="36" t="s">
        <v>2437</v>
      </c>
      <c r="C647" s="267">
        <v>55</v>
      </c>
      <c r="D647" s="268">
        <f t="shared" si="130"/>
        <v>296</v>
      </c>
      <c r="E647" s="267">
        <v>132</v>
      </c>
      <c r="F647" s="267"/>
      <c r="G647" s="267">
        <f>98+66</f>
        <v>164</v>
      </c>
      <c r="H647" s="267"/>
      <c r="I647" s="287"/>
      <c r="J647" s="288">
        <f t="shared" si="132"/>
        <v>538.18</v>
      </c>
      <c r="K647" s="276" t="s">
        <v>1087</v>
      </c>
      <c r="L647" s="33">
        <v>1</v>
      </c>
      <c r="M647" s="157" t="s">
        <v>2436</v>
      </c>
      <c r="N647" s="157"/>
      <c r="O647" s="157" t="s">
        <v>543</v>
      </c>
      <c r="P647" s="163" t="s">
        <v>2438</v>
      </c>
    </row>
    <row r="648" s="92" customFormat="1" ht="20.1" customHeight="1" spans="1:16">
      <c r="A648" s="157" t="s">
        <v>2439</v>
      </c>
      <c r="B648" s="36" t="s">
        <v>2440</v>
      </c>
      <c r="C648" s="267">
        <v>100</v>
      </c>
      <c r="D648" s="268">
        <f t="shared" si="130"/>
        <v>88</v>
      </c>
      <c r="E648" s="267">
        <v>17</v>
      </c>
      <c r="F648" s="267"/>
      <c r="G648" s="267">
        <v>71</v>
      </c>
      <c r="H648" s="267"/>
      <c r="I648" s="287"/>
      <c r="J648" s="288">
        <f t="shared" si="132"/>
        <v>88</v>
      </c>
      <c r="K648" s="276" t="s">
        <v>1087</v>
      </c>
      <c r="L648" s="33">
        <v>1</v>
      </c>
      <c r="M648" s="157" t="s">
        <v>2439</v>
      </c>
      <c r="N648" s="157"/>
      <c r="O648" s="157" t="s">
        <v>543</v>
      </c>
      <c r="P648" s="163" t="s">
        <v>2441</v>
      </c>
    </row>
    <row r="649" s="92" customFormat="1" ht="20.1" customHeight="1" spans="1:16">
      <c r="A649" s="157" t="s">
        <v>2442</v>
      </c>
      <c r="B649" s="36" t="s">
        <v>2443</v>
      </c>
      <c r="C649" s="267"/>
      <c r="D649" s="268">
        <f t="shared" si="130"/>
        <v>0</v>
      </c>
      <c r="E649" s="267"/>
      <c r="F649" s="267"/>
      <c r="G649" s="267"/>
      <c r="H649" s="267"/>
      <c r="I649" s="287"/>
      <c r="J649" s="288">
        <f t="shared" si="132"/>
        <v>0</v>
      </c>
      <c r="K649" s="276" t="s">
        <v>1087</v>
      </c>
      <c r="L649" s="33">
        <v>1</v>
      </c>
      <c r="M649" s="157" t="s">
        <v>2442</v>
      </c>
      <c r="N649" s="157"/>
      <c r="O649" s="157" t="s">
        <v>543</v>
      </c>
      <c r="P649" s="163" t="s">
        <v>2444</v>
      </c>
    </row>
    <row r="650" s="92" customFormat="1" ht="20.1" customHeight="1" spans="1:16">
      <c r="A650" s="157" t="s">
        <v>2445</v>
      </c>
      <c r="B650" s="36" t="s">
        <v>2446</v>
      </c>
      <c r="C650" s="267">
        <v>1186</v>
      </c>
      <c r="D650" s="268">
        <f t="shared" si="130"/>
        <v>1089</v>
      </c>
      <c r="E650" s="267">
        <v>790</v>
      </c>
      <c r="F650" s="267"/>
      <c r="G650" s="267">
        <v>18</v>
      </c>
      <c r="H650" s="267"/>
      <c r="I650" s="287">
        <v>281</v>
      </c>
      <c r="J650" s="288">
        <f t="shared" si="132"/>
        <v>91.82</v>
      </c>
      <c r="K650" s="276" t="s">
        <v>1087</v>
      </c>
      <c r="L650" s="33">
        <v>1</v>
      </c>
      <c r="M650" s="157" t="s">
        <v>2445</v>
      </c>
      <c r="N650" s="157"/>
      <c r="O650" s="157" t="s">
        <v>543</v>
      </c>
      <c r="P650" s="163" t="s">
        <v>2447</v>
      </c>
    </row>
    <row r="651" s="92" customFormat="1" ht="20.1" customHeight="1" spans="1:16">
      <c r="A651" s="157" t="s">
        <v>2448</v>
      </c>
      <c r="B651" s="36" t="s">
        <v>2449</v>
      </c>
      <c r="C651" s="267">
        <v>61</v>
      </c>
      <c r="D651" s="268">
        <f t="shared" si="130"/>
        <v>273</v>
      </c>
      <c r="E651" s="267">
        <v>242</v>
      </c>
      <c r="F651" s="267"/>
      <c r="G651" s="267">
        <v>20</v>
      </c>
      <c r="H651" s="267"/>
      <c r="I651" s="287">
        <v>11</v>
      </c>
      <c r="J651" s="288">
        <f t="shared" si="132"/>
        <v>447.54</v>
      </c>
      <c r="K651" s="276" t="s">
        <v>1087</v>
      </c>
      <c r="L651" s="33">
        <v>1</v>
      </c>
      <c r="M651" s="157" t="s">
        <v>2448</v>
      </c>
      <c r="N651" s="157"/>
      <c r="O651" s="157" t="s">
        <v>543</v>
      </c>
      <c r="P651" s="163" t="s">
        <v>2450</v>
      </c>
    </row>
    <row r="652" s="93" customFormat="1" ht="20.1" customHeight="1" spans="1:16">
      <c r="A652" s="263" t="s">
        <v>544</v>
      </c>
      <c r="B652" s="297" t="s">
        <v>309</v>
      </c>
      <c r="C652" s="265">
        <f t="shared" ref="C652:I652" si="134">SUM(C653:C657)</f>
        <v>50</v>
      </c>
      <c r="D652" s="265">
        <f t="shared" si="130"/>
        <v>39</v>
      </c>
      <c r="E652" s="265">
        <f t="shared" si="134"/>
        <v>0</v>
      </c>
      <c r="F652" s="265">
        <f t="shared" si="134"/>
        <v>1</v>
      </c>
      <c r="G652" s="265">
        <f t="shared" si="134"/>
        <v>0</v>
      </c>
      <c r="H652" s="265">
        <f t="shared" si="134"/>
        <v>0</v>
      </c>
      <c r="I652" s="265">
        <f t="shared" si="134"/>
        <v>38</v>
      </c>
      <c r="J652" s="298">
        <f t="shared" si="132"/>
        <v>78</v>
      </c>
      <c r="K652" s="284" t="s">
        <v>1082</v>
      </c>
      <c r="L652" s="285"/>
      <c r="M652" s="263" t="s">
        <v>544</v>
      </c>
      <c r="N652" s="263" t="s">
        <v>532</v>
      </c>
      <c r="O652" s="263" t="s">
        <v>544</v>
      </c>
      <c r="P652" s="286" t="s">
        <v>2451</v>
      </c>
    </row>
    <row r="653" s="92" customFormat="1" ht="20.1" customHeight="1" spans="1:16">
      <c r="A653" s="157" t="s">
        <v>2452</v>
      </c>
      <c r="B653" s="36" t="s">
        <v>1086</v>
      </c>
      <c r="C653" s="267">
        <v>50</v>
      </c>
      <c r="D653" s="268">
        <f t="shared" si="130"/>
        <v>38</v>
      </c>
      <c r="E653" s="267"/>
      <c r="F653" s="267"/>
      <c r="G653" s="267"/>
      <c r="H653" s="267"/>
      <c r="I653" s="287">
        <v>38</v>
      </c>
      <c r="J653" s="288">
        <f t="shared" si="132"/>
        <v>76</v>
      </c>
      <c r="K653" s="276" t="s">
        <v>1087</v>
      </c>
      <c r="L653" s="33">
        <v>1</v>
      </c>
      <c r="M653" s="157" t="s">
        <v>2452</v>
      </c>
      <c r="N653" s="157"/>
      <c r="O653" s="157" t="s">
        <v>544</v>
      </c>
      <c r="P653" s="164" t="s">
        <v>1088</v>
      </c>
    </row>
    <row r="654" s="92" customFormat="1" ht="20.1" customHeight="1" spans="1:16">
      <c r="A654" s="157" t="s">
        <v>2453</v>
      </c>
      <c r="B654" s="36" t="s">
        <v>1090</v>
      </c>
      <c r="C654" s="267"/>
      <c r="D654" s="268">
        <f t="shared" si="130"/>
        <v>0</v>
      </c>
      <c r="E654" s="267"/>
      <c r="F654" s="267"/>
      <c r="G654" s="267"/>
      <c r="H654" s="267"/>
      <c r="I654" s="287"/>
      <c r="J654" s="288">
        <f t="shared" si="132"/>
        <v>0</v>
      </c>
      <c r="K654" s="276" t="s">
        <v>1087</v>
      </c>
      <c r="L654" s="33">
        <v>1</v>
      </c>
      <c r="M654" s="157" t="s">
        <v>2453</v>
      </c>
      <c r="N654" s="157"/>
      <c r="O654" s="157" t="s">
        <v>544</v>
      </c>
      <c r="P654" s="164" t="s">
        <v>1091</v>
      </c>
    </row>
    <row r="655" s="92" customFormat="1" ht="20.1" customHeight="1" spans="1:16">
      <c r="A655" s="157" t="s">
        <v>2454</v>
      </c>
      <c r="B655" s="36" t="s">
        <v>1093</v>
      </c>
      <c r="C655" s="267"/>
      <c r="D655" s="268">
        <f t="shared" si="130"/>
        <v>0</v>
      </c>
      <c r="E655" s="267"/>
      <c r="F655" s="267"/>
      <c r="G655" s="267"/>
      <c r="H655" s="267"/>
      <c r="I655" s="287"/>
      <c r="J655" s="288">
        <f t="shared" si="132"/>
        <v>0</v>
      </c>
      <c r="K655" s="276" t="s">
        <v>1087</v>
      </c>
      <c r="L655" s="33">
        <v>1</v>
      </c>
      <c r="M655" s="157" t="s">
        <v>2454</v>
      </c>
      <c r="N655" s="157"/>
      <c r="O655" s="157" t="s">
        <v>544</v>
      </c>
      <c r="P655" s="164" t="s">
        <v>1094</v>
      </c>
    </row>
    <row r="656" s="92" customFormat="1" ht="20.1" customHeight="1" spans="1:16">
      <c r="A656" s="157" t="s">
        <v>2455</v>
      </c>
      <c r="B656" s="36" t="s">
        <v>1114</v>
      </c>
      <c r="C656" s="267"/>
      <c r="D656" s="268">
        <f t="shared" si="130"/>
        <v>0</v>
      </c>
      <c r="E656" s="267"/>
      <c r="F656" s="267"/>
      <c r="G656" s="267"/>
      <c r="H656" s="267"/>
      <c r="I656" s="287"/>
      <c r="J656" s="288"/>
      <c r="K656" s="276" t="s">
        <v>1087</v>
      </c>
      <c r="L656" s="33">
        <v>1</v>
      </c>
      <c r="M656" s="157" t="s">
        <v>2455</v>
      </c>
      <c r="N656" s="157"/>
      <c r="O656" s="157" t="s">
        <v>544</v>
      </c>
      <c r="P656" s="164" t="s">
        <v>1115</v>
      </c>
    </row>
    <row r="657" s="92" customFormat="1" ht="20.1" customHeight="1" spans="1:16">
      <c r="A657" s="157" t="s">
        <v>2456</v>
      </c>
      <c r="B657" s="36" t="s">
        <v>2457</v>
      </c>
      <c r="C657" s="267"/>
      <c r="D657" s="268">
        <f t="shared" si="130"/>
        <v>1</v>
      </c>
      <c r="E657" s="267"/>
      <c r="F657" s="267">
        <v>1</v>
      </c>
      <c r="G657" s="267"/>
      <c r="H657" s="267"/>
      <c r="I657" s="287"/>
      <c r="J657" s="288">
        <f t="shared" ref="J657:J686" si="135">ROUND(IF(C657=0,IF(D657=0,0,1),IF(D657=0,-1,D657/C657)),4)*100</f>
        <v>100</v>
      </c>
      <c r="K657" s="276" t="s">
        <v>1087</v>
      </c>
      <c r="L657" s="33">
        <v>1</v>
      </c>
      <c r="M657" s="157" t="s">
        <v>2456</v>
      </c>
      <c r="N657" s="157"/>
      <c r="O657" s="157" t="s">
        <v>544</v>
      </c>
      <c r="P657" s="163" t="s">
        <v>2458</v>
      </c>
    </row>
    <row r="658" s="93" customFormat="1" ht="20.1" customHeight="1" spans="1:16">
      <c r="A658" s="263" t="s">
        <v>545</v>
      </c>
      <c r="B658" s="297" t="s">
        <v>310</v>
      </c>
      <c r="C658" s="265">
        <f t="shared" ref="C658:I658" si="136">SUM(C659:C660)</f>
        <v>11385</v>
      </c>
      <c r="D658" s="265">
        <f t="shared" si="130"/>
        <v>6884</v>
      </c>
      <c r="E658" s="265">
        <f t="shared" si="136"/>
        <v>6884</v>
      </c>
      <c r="F658" s="265">
        <f t="shared" si="136"/>
        <v>0</v>
      </c>
      <c r="G658" s="265">
        <f t="shared" si="136"/>
        <v>0</v>
      </c>
      <c r="H658" s="265">
        <f t="shared" si="136"/>
        <v>0</v>
      </c>
      <c r="I658" s="265">
        <f t="shared" si="136"/>
        <v>0</v>
      </c>
      <c r="J658" s="298">
        <f t="shared" si="135"/>
        <v>60.47</v>
      </c>
      <c r="K658" s="284" t="s">
        <v>1082</v>
      </c>
      <c r="L658" s="285"/>
      <c r="M658" s="263" t="s">
        <v>545</v>
      </c>
      <c r="N658" s="263" t="s">
        <v>532</v>
      </c>
      <c r="O658" s="263" t="s">
        <v>545</v>
      </c>
      <c r="P658" s="286" t="s">
        <v>2459</v>
      </c>
    </row>
    <row r="659" s="92" customFormat="1" ht="20.1" customHeight="1" spans="1:16">
      <c r="A659" s="157" t="s">
        <v>2460</v>
      </c>
      <c r="B659" s="36" t="s">
        <v>2461</v>
      </c>
      <c r="C659" s="267">
        <v>3706</v>
      </c>
      <c r="D659" s="268">
        <f t="shared" si="130"/>
        <v>2374</v>
      </c>
      <c r="E659" s="267">
        <v>2374</v>
      </c>
      <c r="F659" s="267"/>
      <c r="G659" s="267"/>
      <c r="H659" s="267"/>
      <c r="I659" s="287"/>
      <c r="J659" s="288">
        <f t="shared" si="135"/>
        <v>64.06</v>
      </c>
      <c r="K659" s="276" t="s">
        <v>1087</v>
      </c>
      <c r="L659" s="33">
        <v>1</v>
      </c>
      <c r="M659" s="157" t="s">
        <v>2460</v>
      </c>
      <c r="N659" s="157"/>
      <c r="O659" s="157" t="s">
        <v>545</v>
      </c>
      <c r="P659" s="163" t="s">
        <v>2462</v>
      </c>
    </row>
    <row r="660" s="92" customFormat="1" ht="20.1" customHeight="1" spans="1:16">
      <c r="A660" s="157" t="s">
        <v>2463</v>
      </c>
      <c r="B660" s="36" t="s">
        <v>2464</v>
      </c>
      <c r="C660" s="267">
        <v>7679</v>
      </c>
      <c r="D660" s="268">
        <f t="shared" si="130"/>
        <v>4510</v>
      </c>
      <c r="E660" s="267">
        <v>4510</v>
      </c>
      <c r="F660" s="267"/>
      <c r="G660" s="267"/>
      <c r="H660" s="267"/>
      <c r="I660" s="287"/>
      <c r="J660" s="288">
        <f t="shared" si="135"/>
        <v>58.73</v>
      </c>
      <c r="K660" s="276" t="s">
        <v>1087</v>
      </c>
      <c r="L660" s="33">
        <v>1</v>
      </c>
      <c r="M660" s="157" t="s">
        <v>2463</v>
      </c>
      <c r="N660" s="157"/>
      <c r="O660" s="157" t="s">
        <v>545</v>
      </c>
      <c r="P660" s="163" t="s">
        <v>2465</v>
      </c>
    </row>
    <row r="661" s="93" customFormat="1" ht="20.1" customHeight="1" spans="1:16">
      <c r="A661" s="263" t="s">
        <v>546</v>
      </c>
      <c r="B661" s="297" t="s">
        <v>311</v>
      </c>
      <c r="C661" s="265">
        <f t="shared" ref="C661:I661" si="137">SUM(C662:C663)</f>
        <v>146</v>
      </c>
      <c r="D661" s="265">
        <f t="shared" si="130"/>
        <v>186</v>
      </c>
      <c r="E661" s="265">
        <f t="shared" si="137"/>
        <v>140</v>
      </c>
      <c r="F661" s="265">
        <f t="shared" si="137"/>
        <v>0</v>
      </c>
      <c r="G661" s="265">
        <f t="shared" si="137"/>
        <v>46</v>
      </c>
      <c r="H661" s="265">
        <f t="shared" si="137"/>
        <v>0</v>
      </c>
      <c r="I661" s="265">
        <f t="shared" si="137"/>
        <v>0</v>
      </c>
      <c r="J661" s="298">
        <f t="shared" si="135"/>
        <v>127.4</v>
      </c>
      <c r="K661" s="284" t="s">
        <v>1082</v>
      </c>
      <c r="L661" s="285"/>
      <c r="M661" s="263" t="s">
        <v>546</v>
      </c>
      <c r="N661" s="263" t="s">
        <v>532</v>
      </c>
      <c r="O661" s="263" t="s">
        <v>546</v>
      </c>
      <c r="P661" s="286" t="s">
        <v>2466</v>
      </c>
    </row>
    <row r="662" s="92" customFormat="1" ht="20.1" customHeight="1" spans="1:16">
      <c r="A662" s="157" t="s">
        <v>2467</v>
      </c>
      <c r="B662" s="36" t="s">
        <v>2468</v>
      </c>
      <c r="C662" s="267">
        <v>140</v>
      </c>
      <c r="D662" s="268">
        <f t="shared" si="130"/>
        <v>156</v>
      </c>
      <c r="E662" s="267">
        <v>110</v>
      </c>
      <c r="F662" s="267"/>
      <c r="G662" s="267">
        <v>46</v>
      </c>
      <c r="H662" s="267"/>
      <c r="I662" s="287"/>
      <c r="J662" s="288">
        <f t="shared" si="135"/>
        <v>111.43</v>
      </c>
      <c r="K662" s="276" t="s">
        <v>1087</v>
      </c>
      <c r="L662" s="33">
        <v>1</v>
      </c>
      <c r="M662" s="157" t="s">
        <v>2467</v>
      </c>
      <c r="N662" s="157"/>
      <c r="O662" s="157" t="s">
        <v>546</v>
      </c>
      <c r="P662" s="163" t="s">
        <v>2469</v>
      </c>
    </row>
    <row r="663" s="92" customFormat="1" ht="20.1" customHeight="1" spans="1:16">
      <c r="A663" s="157" t="s">
        <v>2470</v>
      </c>
      <c r="B663" s="36" t="s">
        <v>2471</v>
      </c>
      <c r="C663" s="267">
        <v>6</v>
      </c>
      <c r="D663" s="268">
        <f t="shared" si="130"/>
        <v>30</v>
      </c>
      <c r="E663" s="267">
        <v>30</v>
      </c>
      <c r="F663" s="267"/>
      <c r="G663" s="267"/>
      <c r="H663" s="267"/>
      <c r="I663" s="287"/>
      <c r="J663" s="288">
        <f t="shared" si="135"/>
        <v>500</v>
      </c>
      <c r="K663" s="276" t="s">
        <v>1087</v>
      </c>
      <c r="L663" s="33">
        <v>1</v>
      </c>
      <c r="M663" s="157" t="s">
        <v>2470</v>
      </c>
      <c r="N663" s="157"/>
      <c r="O663" s="157" t="s">
        <v>546</v>
      </c>
      <c r="P663" s="163" t="s">
        <v>2472</v>
      </c>
    </row>
    <row r="664" s="93" customFormat="1" ht="20.1" customHeight="1" spans="1:16">
      <c r="A664" s="263" t="s">
        <v>547</v>
      </c>
      <c r="B664" s="297" t="s">
        <v>312</v>
      </c>
      <c r="C664" s="265">
        <f t="shared" ref="C664:I664" si="138">SUM(C665:C666)</f>
        <v>1879</v>
      </c>
      <c r="D664" s="265">
        <f t="shared" si="130"/>
        <v>1800</v>
      </c>
      <c r="E664" s="265">
        <f t="shared" si="138"/>
        <v>1800</v>
      </c>
      <c r="F664" s="265">
        <f t="shared" si="138"/>
        <v>0</v>
      </c>
      <c r="G664" s="265">
        <f t="shared" si="138"/>
        <v>0</v>
      </c>
      <c r="H664" s="265">
        <f t="shared" si="138"/>
        <v>0</v>
      </c>
      <c r="I664" s="265">
        <f t="shared" si="138"/>
        <v>0</v>
      </c>
      <c r="J664" s="298">
        <f t="shared" si="135"/>
        <v>95.8</v>
      </c>
      <c r="K664" s="284" t="s">
        <v>1082</v>
      </c>
      <c r="L664" s="285"/>
      <c r="M664" s="263" t="s">
        <v>547</v>
      </c>
      <c r="N664" s="263" t="s">
        <v>532</v>
      </c>
      <c r="O664" s="263" t="s">
        <v>547</v>
      </c>
      <c r="P664" s="286" t="s">
        <v>2473</v>
      </c>
    </row>
    <row r="665" s="92" customFormat="1" ht="20.1" customHeight="1" spans="1:16">
      <c r="A665" s="157" t="s">
        <v>2474</v>
      </c>
      <c r="B665" s="36" t="s">
        <v>2475</v>
      </c>
      <c r="C665" s="267">
        <v>346</v>
      </c>
      <c r="D665" s="268">
        <f t="shared" si="130"/>
        <v>360</v>
      </c>
      <c r="E665" s="267">
        <v>360</v>
      </c>
      <c r="F665" s="267"/>
      <c r="G665" s="267"/>
      <c r="H665" s="267"/>
      <c r="I665" s="287"/>
      <c r="J665" s="288">
        <f t="shared" si="135"/>
        <v>104.05</v>
      </c>
      <c r="K665" s="276" t="s">
        <v>1087</v>
      </c>
      <c r="L665" s="33">
        <v>1</v>
      </c>
      <c r="M665" s="157" t="s">
        <v>2474</v>
      </c>
      <c r="N665" s="157"/>
      <c r="O665" s="157" t="s">
        <v>547</v>
      </c>
      <c r="P665" s="163" t="s">
        <v>2476</v>
      </c>
    </row>
    <row r="666" s="92" customFormat="1" ht="20.1" customHeight="1" spans="1:16">
      <c r="A666" s="157" t="s">
        <v>2477</v>
      </c>
      <c r="B666" s="36" t="s">
        <v>2478</v>
      </c>
      <c r="C666" s="267">
        <v>1533</v>
      </c>
      <c r="D666" s="268">
        <f t="shared" si="130"/>
        <v>1440</v>
      </c>
      <c r="E666" s="267">
        <v>1440</v>
      </c>
      <c r="F666" s="267"/>
      <c r="G666" s="267"/>
      <c r="H666" s="267"/>
      <c r="I666" s="287"/>
      <c r="J666" s="288">
        <f t="shared" si="135"/>
        <v>93.93</v>
      </c>
      <c r="K666" s="276" t="s">
        <v>1087</v>
      </c>
      <c r="L666" s="33">
        <v>1</v>
      </c>
      <c r="M666" s="157" t="s">
        <v>2477</v>
      </c>
      <c r="N666" s="157"/>
      <c r="O666" s="157" t="s">
        <v>547</v>
      </c>
      <c r="P666" s="163" t="s">
        <v>2479</v>
      </c>
    </row>
    <row r="667" s="93" customFormat="1" ht="20.1" customHeight="1" spans="1:16">
      <c r="A667" s="263" t="s">
        <v>548</v>
      </c>
      <c r="B667" s="297" t="s">
        <v>313</v>
      </c>
      <c r="C667" s="265">
        <v>0</v>
      </c>
      <c r="D667" s="265">
        <f t="shared" si="130"/>
        <v>0</v>
      </c>
      <c r="E667" s="265">
        <f t="shared" ref="E667:H667" si="139">SUM(E668:E669)</f>
        <v>0</v>
      </c>
      <c r="F667" s="265">
        <f t="shared" si="139"/>
        <v>0</v>
      </c>
      <c r="G667" s="265">
        <f>VLOOKUP(A667,[1]√表四、2024年公共财政支出变动表!$A$7:$R$214,18,FALSE)</f>
        <v>0</v>
      </c>
      <c r="H667" s="265">
        <f t="shared" si="139"/>
        <v>0</v>
      </c>
      <c r="I667" s="265"/>
      <c r="J667" s="298">
        <f t="shared" si="135"/>
        <v>0</v>
      </c>
      <c r="K667" s="284" t="s">
        <v>1082</v>
      </c>
      <c r="L667" s="285"/>
      <c r="M667" s="263" t="s">
        <v>548</v>
      </c>
      <c r="N667" s="263" t="s">
        <v>532</v>
      </c>
      <c r="O667" s="263" t="s">
        <v>548</v>
      </c>
      <c r="P667" s="286" t="s">
        <v>2480</v>
      </c>
    </row>
    <row r="668" s="92" customFormat="1" ht="20.1" customHeight="1" spans="1:16">
      <c r="A668" s="157" t="s">
        <v>2481</v>
      </c>
      <c r="B668" s="36" t="s">
        <v>2482</v>
      </c>
      <c r="C668" s="267">
        <v>0</v>
      </c>
      <c r="D668" s="268">
        <f t="shared" si="130"/>
        <v>0</v>
      </c>
      <c r="E668" s="267"/>
      <c r="F668" s="267"/>
      <c r="G668" s="267"/>
      <c r="H668" s="267"/>
      <c r="I668" s="287"/>
      <c r="J668" s="288">
        <f t="shared" si="135"/>
        <v>0</v>
      </c>
      <c r="K668" s="276" t="s">
        <v>1087</v>
      </c>
      <c r="L668" s="33">
        <v>1</v>
      </c>
      <c r="M668" s="157" t="s">
        <v>2481</v>
      </c>
      <c r="N668" s="157"/>
      <c r="O668" s="157" t="s">
        <v>548</v>
      </c>
      <c r="P668" s="164" t="s">
        <v>2483</v>
      </c>
    </row>
    <row r="669" s="92" customFormat="1" ht="20.1" customHeight="1" spans="1:16">
      <c r="A669" s="157" t="s">
        <v>2484</v>
      </c>
      <c r="B669" s="36" t="s">
        <v>2485</v>
      </c>
      <c r="C669" s="267">
        <v>0</v>
      </c>
      <c r="D669" s="268">
        <f t="shared" si="130"/>
        <v>0</v>
      </c>
      <c r="E669" s="267"/>
      <c r="F669" s="267"/>
      <c r="G669" s="267"/>
      <c r="H669" s="267"/>
      <c r="I669" s="287"/>
      <c r="J669" s="288">
        <f t="shared" si="135"/>
        <v>0</v>
      </c>
      <c r="K669" s="276" t="s">
        <v>1087</v>
      </c>
      <c r="L669" s="33">
        <v>1</v>
      </c>
      <c r="M669" s="157" t="s">
        <v>2484</v>
      </c>
      <c r="N669" s="157"/>
      <c r="O669" s="157" t="s">
        <v>548</v>
      </c>
      <c r="P669" s="163" t="s">
        <v>2486</v>
      </c>
    </row>
    <row r="670" s="93" customFormat="1" ht="20.1" customHeight="1" spans="1:16">
      <c r="A670" s="263" t="s">
        <v>549</v>
      </c>
      <c r="B670" s="297" t="s">
        <v>314</v>
      </c>
      <c r="C670" s="265">
        <f t="shared" ref="C670:I670" si="140">SUM(C671:C672)</f>
        <v>246</v>
      </c>
      <c r="D670" s="265">
        <f t="shared" si="130"/>
        <v>8</v>
      </c>
      <c r="E670" s="265">
        <f t="shared" si="140"/>
        <v>0</v>
      </c>
      <c r="F670" s="265">
        <f t="shared" si="140"/>
        <v>0</v>
      </c>
      <c r="G670" s="265">
        <f t="shared" si="140"/>
        <v>0</v>
      </c>
      <c r="H670" s="265">
        <f t="shared" si="140"/>
        <v>0</v>
      </c>
      <c r="I670" s="265">
        <f t="shared" si="140"/>
        <v>8</v>
      </c>
      <c r="J670" s="298">
        <f t="shared" si="135"/>
        <v>3.25</v>
      </c>
      <c r="K670" s="284" t="s">
        <v>1082</v>
      </c>
      <c r="L670" s="285"/>
      <c r="M670" s="263" t="s">
        <v>549</v>
      </c>
      <c r="N670" s="263" t="s">
        <v>532</v>
      </c>
      <c r="O670" s="263" t="s">
        <v>549</v>
      </c>
      <c r="P670" s="286" t="s">
        <v>2487</v>
      </c>
    </row>
    <row r="671" s="92" customFormat="1" ht="20.1" customHeight="1" spans="1:16">
      <c r="A671" s="157" t="s">
        <v>2488</v>
      </c>
      <c r="B671" s="36" t="s">
        <v>2489</v>
      </c>
      <c r="C671" s="267">
        <v>53</v>
      </c>
      <c r="D671" s="268">
        <f t="shared" si="130"/>
        <v>8</v>
      </c>
      <c r="E671" s="267"/>
      <c r="F671" s="267"/>
      <c r="G671" s="267"/>
      <c r="H671" s="267"/>
      <c r="I671" s="287">
        <v>8</v>
      </c>
      <c r="J671" s="288">
        <f t="shared" si="135"/>
        <v>15.09</v>
      </c>
      <c r="K671" s="276" t="s">
        <v>1087</v>
      </c>
      <c r="L671" s="33">
        <v>1</v>
      </c>
      <c r="M671" s="157" t="s">
        <v>2488</v>
      </c>
      <c r="N671" s="157"/>
      <c r="O671" s="157" t="s">
        <v>549</v>
      </c>
      <c r="P671" s="163" t="s">
        <v>2490</v>
      </c>
    </row>
    <row r="672" s="92" customFormat="1" ht="20.1" customHeight="1" spans="1:16">
      <c r="A672" s="157" t="s">
        <v>2491</v>
      </c>
      <c r="B672" s="36" t="s">
        <v>2492</v>
      </c>
      <c r="C672" s="267">
        <v>193</v>
      </c>
      <c r="D672" s="268">
        <f t="shared" si="130"/>
        <v>0</v>
      </c>
      <c r="E672" s="267"/>
      <c r="F672" s="267"/>
      <c r="G672" s="267"/>
      <c r="H672" s="267"/>
      <c r="I672" s="287"/>
      <c r="J672" s="288">
        <f t="shared" si="135"/>
        <v>-100</v>
      </c>
      <c r="K672" s="276" t="s">
        <v>1087</v>
      </c>
      <c r="L672" s="33">
        <v>1</v>
      </c>
      <c r="M672" s="157" t="s">
        <v>2491</v>
      </c>
      <c r="N672" s="157"/>
      <c r="O672" s="157" t="s">
        <v>549</v>
      </c>
      <c r="P672" s="163" t="s">
        <v>2493</v>
      </c>
    </row>
    <row r="673" s="93" customFormat="1" ht="20.1" customHeight="1" spans="1:16">
      <c r="A673" s="263" t="s">
        <v>550</v>
      </c>
      <c r="B673" s="297" t="s">
        <v>315</v>
      </c>
      <c r="C673" s="265">
        <f t="shared" ref="C673:I673" si="141">SUM(C674:C676)</f>
        <v>6468</v>
      </c>
      <c r="D673" s="265">
        <f t="shared" si="130"/>
        <v>11114</v>
      </c>
      <c r="E673" s="265">
        <f t="shared" si="141"/>
        <v>6432</v>
      </c>
      <c r="F673" s="265">
        <f t="shared" si="141"/>
        <v>0</v>
      </c>
      <c r="G673" s="265">
        <f t="shared" si="141"/>
        <v>3901</v>
      </c>
      <c r="H673" s="265">
        <f t="shared" si="141"/>
        <v>0</v>
      </c>
      <c r="I673" s="265">
        <f t="shared" si="141"/>
        <v>781</v>
      </c>
      <c r="J673" s="298">
        <f t="shared" si="135"/>
        <v>171.83</v>
      </c>
      <c r="K673" s="284" t="s">
        <v>1082</v>
      </c>
      <c r="L673" s="285"/>
      <c r="M673" s="263" t="s">
        <v>550</v>
      </c>
      <c r="N673" s="263" t="s">
        <v>532</v>
      </c>
      <c r="O673" s="263" t="s">
        <v>550</v>
      </c>
      <c r="P673" s="286" t="s">
        <v>2494</v>
      </c>
    </row>
    <row r="674" s="92" customFormat="1" ht="20.1" customHeight="1" spans="1:16">
      <c r="A674" s="157" t="s">
        <v>2495</v>
      </c>
      <c r="B674" s="36" t="s">
        <v>2496</v>
      </c>
      <c r="C674" s="267">
        <v>0</v>
      </c>
      <c r="D674" s="268">
        <f t="shared" si="130"/>
        <v>0</v>
      </c>
      <c r="E674" s="267"/>
      <c r="F674" s="267"/>
      <c r="G674" s="267"/>
      <c r="H674" s="267"/>
      <c r="I674" s="287"/>
      <c r="J674" s="288">
        <f t="shared" si="135"/>
        <v>0</v>
      </c>
      <c r="K674" s="276" t="s">
        <v>1087</v>
      </c>
      <c r="L674" s="33">
        <v>1</v>
      </c>
      <c r="M674" s="157" t="s">
        <v>2495</v>
      </c>
      <c r="N674" s="157"/>
      <c r="O674" s="157" t="s">
        <v>550</v>
      </c>
      <c r="P674" s="163" t="s">
        <v>2497</v>
      </c>
    </row>
    <row r="675" s="92" customFormat="1" ht="20.1" customHeight="1" spans="1:16">
      <c r="A675" s="157" t="s">
        <v>2498</v>
      </c>
      <c r="B675" s="36" t="s">
        <v>2499</v>
      </c>
      <c r="C675" s="267">
        <v>6468</v>
      </c>
      <c r="D675" s="268">
        <f t="shared" si="130"/>
        <v>11114</v>
      </c>
      <c r="E675" s="267">
        <v>6432</v>
      </c>
      <c r="F675" s="267"/>
      <c r="G675" s="267">
        <v>3901</v>
      </c>
      <c r="H675" s="267"/>
      <c r="I675" s="287">
        <v>781</v>
      </c>
      <c r="J675" s="288">
        <f t="shared" si="135"/>
        <v>171.83</v>
      </c>
      <c r="K675" s="276" t="s">
        <v>1087</v>
      </c>
      <c r="L675" s="33">
        <v>1</v>
      </c>
      <c r="M675" s="157" t="s">
        <v>2498</v>
      </c>
      <c r="N675" s="157"/>
      <c r="O675" s="157" t="s">
        <v>550</v>
      </c>
      <c r="P675" s="163" t="s">
        <v>2500</v>
      </c>
    </row>
    <row r="676" s="92" customFormat="1" ht="20.1" customHeight="1" spans="1:16">
      <c r="A676" s="157" t="s">
        <v>2501</v>
      </c>
      <c r="B676" s="36" t="s">
        <v>2502</v>
      </c>
      <c r="C676" s="267"/>
      <c r="D676" s="268">
        <f t="shared" si="130"/>
        <v>0</v>
      </c>
      <c r="E676" s="267"/>
      <c r="F676" s="267"/>
      <c r="G676" s="267"/>
      <c r="H676" s="267"/>
      <c r="I676" s="287"/>
      <c r="J676" s="288">
        <f t="shared" si="135"/>
        <v>0</v>
      </c>
      <c r="K676" s="276" t="s">
        <v>1087</v>
      </c>
      <c r="L676" s="33">
        <v>1</v>
      </c>
      <c r="M676" s="157" t="s">
        <v>2501</v>
      </c>
      <c r="N676" s="157"/>
      <c r="O676" s="157" t="s">
        <v>550</v>
      </c>
      <c r="P676" s="163" t="s">
        <v>2503</v>
      </c>
    </row>
    <row r="677" s="93" customFormat="1" ht="20.1" customHeight="1" spans="1:16">
      <c r="A677" s="263" t="s">
        <v>551</v>
      </c>
      <c r="B677" s="297" t="s">
        <v>316</v>
      </c>
      <c r="C677" s="265">
        <f t="shared" ref="C677:F677" si="142">SUM(C678:C680)</f>
        <v>0</v>
      </c>
      <c r="D677" s="265">
        <f t="shared" si="130"/>
        <v>0</v>
      </c>
      <c r="E677" s="265">
        <f t="shared" si="142"/>
        <v>0</v>
      </c>
      <c r="F677" s="265">
        <f t="shared" si="142"/>
        <v>0</v>
      </c>
      <c r="G677" s="265">
        <f>VLOOKUP(A677,[1]√表四、2024年公共财政支出变动表!$A$7:$R$214,18,FALSE)</f>
        <v>0</v>
      </c>
      <c r="H677" s="265">
        <f>SUM(H678:H680)</f>
        <v>0</v>
      </c>
      <c r="I677" s="265"/>
      <c r="J677" s="298">
        <f t="shared" si="135"/>
        <v>0</v>
      </c>
      <c r="K677" s="284" t="s">
        <v>1082</v>
      </c>
      <c r="L677" s="285"/>
      <c r="M677" s="263" t="s">
        <v>551</v>
      </c>
      <c r="N677" s="263" t="s">
        <v>532</v>
      </c>
      <c r="O677" s="263" t="s">
        <v>551</v>
      </c>
      <c r="P677" s="286" t="s">
        <v>2504</v>
      </c>
    </row>
    <row r="678" s="92" customFormat="1" ht="20.1" customHeight="1" spans="1:16">
      <c r="A678" s="157" t="s">
        <v>2505</v>
      </c>
      <c r="B678" s="36" t="s">
        <v>2506</v>
      </c>
      <c r="C678" s="267">
        <v>0</v>
      </c>
      <c r="D678" s="268">
        <f t="shared" si="130"/>
        <v>0</v>
      </c>
      <c r="E678" s="267"/>
      <c r="F678" s="267"/>
      <c r="G678" s="267"/>
      <c r="H678" s="267"/>
      <c r="I678" s="287"/>
      <c r="J678" s="288">
        <f t="shared" si="135"/>
        <v>0</v>
      </c>
      <c r="K678" s="276" t="s">
        <v>1087</v>
      </c>
      <c r="L678" s="33">
        <v>1</v>
      </c>
      <c r="M678" s="157" t="s">
        <v>2505</v>
      </c>
      <c r="N678" s="157"/>
      <c r="O678" s="157" t="s">
        <v>551</v>
      </c>
      <c r="P678" s="163" t="s">
        <v>2507</v>
      </c>
    </row>
    <row r="679" s="92" customFormat="1" ht="20.1" customHeight="1" spans="1:16">
      <c r="A679" s="157" t="s">
        <v>2508</v>
      </c>
      <c r="B679" s="36" t="s">
        <v>2509</v>
      </c>
      <c r="C679" s="267">
        <v>0</v>
      </c>
      <c r="D679" s="268">
        <f t="shared" si="130"/>
        <v>0</v>
      </c>
      <c r="E679" s="267"/>
      <c r="F679" s="267"/>
      <c r="G679" s="267"/>
      <c r="H679" s="267"/>
      <c r="I679" s="287"/>
      <c r="J679" s="288">
        <f t="shared" si="135"/>
        <v>0</v>
      </c>
      <c r="K679" s="276" t="s">
        <v>1087</v>
      </c>
      <c r="L679" s="33">
        <v>1</v>
      </c>
      <c r="M679" s="157" t="s">
        <v>2508</v>
      </c>
      <c r="N679" s="157"/>
      <c r="O679" s="157" t="s">
        <v>551</v>
      </c>
      <c r="P679" s="163" t="s">
        <v>2510</v>
      </c>
    </row>
    <row r="680" s="92" customFormat="1" ht="20.1" customHeight="1" spans="1:16">
      <c r="A680" s="157" t="s">
        <v>2511</v>
      </c>
      <c r="B680" s="36" t="s">
        <v>2512</v>
      </c>
      <c r="C680" s="267">
        <v>0</v>
      </c>
      <c r="D680" s="268">
        <f t="shared" si="130"/>
        <v>0</v>
      </c>
      <c r="E680" s="267"/>
      <c r="F680" s="267"/>
      <c r="G680" s="267"/>
      <c r="H680" s="267"/>
      <c r="I680" s="287"/>
      <c r="J680" s="288">
        <f t="shared" si="135"/>
        <v>0</v>
      </c>
      <c r="K680" s="276" t="s">
        <v>1087</v>
      </c>
      <c r="L680" s="33">
        <v>1</v>
      </c>
      <c r="M680" s="157" t="s">
        <v>2511</v>
      </c>
      <c r="N680" s="157"/>
      <c r="O680" s="157" t="s">
        <v>551</v>
      </c>
      <c r="P680" s="163" t="s">
        <v>2513</v>
      </c>
    </row>
    <row r="681" s="93" customFormat="1" ht="20.1" customHeight="1" spans="1:16">
      <c r="A681" s="263" t="s">
        <v>552</v>
      </c>
      <c r="B681" s="297" t="s">
        <v>317</v>
      </c>
      <c r="C681" s="265">
        <f t="shared" ref="C681:I681" si="143">SUM(C682:C689)</f>
        <v>431</v>
      </c>
      <c r="D681" s="265">
        <f t="shared" si="130"/>
        <v>288</v>
      </c>
      <c r="E681" s="265">
        <f t="shared" si="143"/>
        <v>0</v>
      </c>
      <c r="F681" s="265">
        <f t="shared" si="143"/>
        <v>0</v>
      </c>
      <c r="G681" s="265">
        <f t="shared" si="143"/>
        <v>106</v>
      </c>
      <c r="H681" s="265">
        <f t="shared" si="143"/>
        <v>0</v>
      </c>
      <c r="I681" s="265">
        <f t="shared" si="143"/>
        <v>182</v>
      </c>
      <c r="J681" s="298">
        <f t="shared" si="135"/>
        <v>66.82</v>
      </c>
      <c r="K681" s="284" t="s">
        <v>1082</v>
      </c>
      <c r="L681" s="285"/>
      <c r="M681" s="263" t="s">
        <v>552</v>
      </c>
      <c r="N681" s="263" t="s">
        <v>532</v>
      </c>
      <c r="O681" s="263" t="s">
        <v>552</v>
      </c>
      <c r="P681" s="286" t="s">
        <v>2514</v>
      </c>
    </row>
    <row r="682" s="92" customFormat="1" ht="20.1" customHeight="1" spans="1:16">
      <c r="A682" s="157" t="s">
        <v>2515</v>
      </c>
      <c r="B682" s="164" t="s">
        <v>1086</v>
      </c>
      <c r="C682" s="267">
        <v>99</v>
      </c>
      <c r="D682" s="268">
        <f t="shared" si="130"/>
        <v>110</v>
      </c>
      <c r="E682" s="267"/>
      <c r="F682" s="267"/>
      <c r="G682" s="267"/>
      <c r="H682" s="267"/>
      <c r="I682" s="287">
        <v>110</v>
      </c>
      <c r="J682" s="288">
        <f t="shared" si="135"/>
        <v>111.11</v>
      </c>
      <c r="K682" s="276" t="s">
        <v>1087</v>
      </c>
      <c r="L682" s="33">
        <v>1</v>
      </c>
      <c r="M682" s="157" t="s">
        <v>2515</v>
      </c>
      <c r="N682" s="157"/>
      <c r="O682" s="157" t="s">
        <v>552</v>
      </c>
      <c r="P682" s="164" t="s">
        <v>1088</v>
      </c>
    </row>
    <row r="683" s="252" customFormat="1" ht="20.1" customHeight="1" spans="1:16">
      <c r="A683" s="157" t="s">
        <v>2516</v>
      </c>
      <c r="B683" s="164" t="s">
        <v>1090</v>
      </c>
      <c r="C683" s="267"/>
      <c r="D683" s="268">
        <f t="shared" si="130"/>
        <v>2</v>
      </c>
      <c r="E683" s="267"/>
      <c r="F683" s="267"/>
      <c r="G683" s="267"/>
      <c r="H683" s="267"/>
      <c r="I683" s="287">
        <v>2</v>
      </c>
      <c r="J683" s="288">
        <f t="shared" si="135"/>
        <v>100</v>
      </c>
      <c r="K683" s="276" t="s">
        <v>1087</v>
      </c>
      <c r="L683" s="33">
        <v>1</v>
      </c>
      <c r="M683" s="157" t="s">
        <v>2516</v>
      </c>
      <c r="N683" s="157"/>
      <c r="O683" s="157" t="s">
        <v>552</v>
      </c>
      <c r="P683" s="164" t="s">
        <v>1091</v>
      </c>
    </row>
    <row r="684" s="92" customFormat="1" ht="20.1" customHeight="1" spans="1:16">
      <c r="A684" s="157" t="s">
        <v>2517</v>
      </c>
      <c r="B684" s="164" t="s">
        <v>1093</v>
      </c>
      <c r="C684" s="267"/>
      <c r="D684" s="268">
        <f t="shared" si="130"/>
        <v>0</v>
      </c>
      <c r="E684" s="267"/>
      <c r="F684" s="267"/>
      <c r="G684" s="267"/>
      <c r="H684" s="267"/>
      <c r="I684" s="287"/>
      <c r="J684" s="288">
        <f t="shared" si="135"/>
        <v>0</v>
      </c>
      <c r="K684" s="276" t="s">
        <v>1087</v>
      </c>
      <c r="L684" s="33">
        <v>1</v>
      </c>
      <c r="M684" s="157" t="s">
        <v>2517</v>
      </c>
      <c r="N684" s="157"/>
      <c r="O684" s="157" t="s">
        <v>552</v>
      </c>
      <c r="P684" s="164" t="s">
        <v>1094</v>
      </c>
    </row>
    <row r="685" s="92" customFormat="1" ht="20.1" customHeight="1" spans="1:16">
      <c r="A685" s="157" t="s">
        <v>2518</v>
      </c>
      <c r="B685" s="164" t="s">
        <v>2519</v>
      </c>
      <c r="C685" s="267">
        <v>33</v>
      </c>
      <c r="D685" s="268">
        <f t="shared" si="130"/>
        <v>51</v>
      </c>
      <c r="E685" s="267"/>
      <c r="F685" s="267"/>
      <c r="G685" s="267"/>
      <c r="H685" s="267"/>
      <c r="I685" s="287">
        <v>51</v>
      </c>
      <c r="J685" s="288">
        <f t="shared" si="135"/>
        <v>154.55</v>
      </c>
      <c r="K685" s="276" t="s">
        <v>1087</v>
      </c>
      <c r="L685" s="33">
        <v>1</v>
      </c>
      <c r="M685" s="157" t="s">
        <v>2518</v>
      </c>
      <c r="N685" s="157"/>
      <c r="O685" s="157" t="s">
        <v>552</v>
      </c>
      <c r="P685" s="164" t="s">
        <v>2520</v>
      </c>
    </row>
    <row r="686" s="92" customFormat="1" ht="20.1" customHeight="1" spans="1:16">
      <c r="A686" s="157" t="s">
        <v>2521</v>
      </c>
      <c r="B686" s="164" t="s">
        <v>2522</v>
      </c>
      <c r="C686" s="267"/>
      <c r="D686" s="268">
        <f t="shared" si="130"/>
        <v>0</v>
      </c>
      <c r="E686" s="267"/>
      <c r="F686" s="267"/>
      <c r="G686" s="267"/>
      <c r="H686" s="267"/>
      <c r="I686" s="287"/>
      <c r="J686" s="288">
        <f t="shared" si="135"/>
        <v>0</v>
      </c>
      <c r="K686" s="276" t="s">
        <v>1087</v>
      </c>
      <c r="L686" s="33">
        <v>1</v>
      </c>
      <c r="M686" s="157" t="s">
        <v>2521</v>
      </c>
      <c r="N686" s="157"/>
      <c r="O686" s="157" t="s">
        <v>552</v>
      </c>
      <c r="P686" s="164" t="s">
        <v>2523</v>
      </c>
    </row>
    <row r="687" s="92" customFormat="1" ht="20.1" customHeight="1" spans="1:16">
      <c r="A687" s="157" t="s">
        <v>2524</v>
      </c>
      <c r="B687" s="164" t="s">
        <v>1217</v>
      </c>
      <c r="C687" s="267"/>
      <c r="D687" s="268">
        <f t="shared" si="130"/>
        <v>0</v>
      </c>
      <c r="E687" s="267"/>
      <c r="F687" s="267"/>
      <c r="G687" s="267"/>
      <c r="H687" s="267"/>
      <c r="I687" s="287"/>
      <c r="J687" s="288"/>
      <c r="K687" s="276" t="s">
        <v>1087</v>
      </c>
      <c r="L687" s="33">
        <v>1</v>
      </c>
      <c r="M687" s="157" t="s">
        <v>2524</v>
      </c>
      <c r="N687" s="157"/>
      <c r="O687" s="157" t="s">
        <v>552</v>
      </c>
      <c r="P687" s="164" t="s">
        <v>1218</v>
      </c>
    </row>
    <row r="688" s="92" customFormat="1" ht="20.1" customHeight="1" spans="1:16">
      <c r="A688" s="157" t="s">
        <v>2525</v>
      </c>
      <c r="B688" s="164" t="s">
        <v>1114</v>
      </c>
      <c r="C688" s="267">
        <v>277</v>
      </c>
      <c r="D688" s="268">
        <f t="shared" si="130"/>
        <v>6</v>
      </c>
      <c r="E688" s="267"/>
      <c r="F688" s="267"/>
      <c r="G688" s="267"/>
      <c r="H688" s="267"/>
      <c r="I688" s="287">
        <v>6</v>
      </c>
      <c r="J688" s="288">
        <f t="shared" ref="J688:J712" si="144">ROUND(IF(C688=0,IF(D688=0,0,1),IF(D688=0,-1,D688/C688)),4)*100</f>
        <v>2.17</v>
      </c>
      <c r="K688" s="276" t="s">
        <v>1087</v>
      </c>
      <c r="L688" s="33">
        <v>1</v>
      </c>
      <c r="M688" s="157" t="s">
        <v>2525</v>
      </c>
      <c r="N688" s="157"/>
      <c r="O688" s="157" t="s">
        <v>552</v>
      </c>
      <c r="P688" s="164" t="s">
        <v>1115</v>
      </c>
    </row>
    <row r="689" s="92" customFormat="1" ht="20.1" customHeight="1" spans="1:16">
      <c r="A689" s="157" t="s">
        <v>2526</v>
      </c>
      <c r="B689" s="164" t="s">
        <v>2527</v>
      </c>
      <c r="C689" s="267">
        <v>22</v>
      </c>
      <c r="D689" s="268">
        <f t="shared" si="130"/>
        <v>119</v>
      </c>
      <c r="E689" s="267"/>
      <c r="F689" s="267"/>
      <c r="G689" s="267">
        <v>106</v>
      </c>
      <c r="H689" s="267"/>
      <c r="I689" s="287">
        <v>13</v>
      </c>
      <c r="J689" s="288">
        <f t="shared" si="144"/>
        <v>540.91</v>
      </c>
      <c r="K689" s="276" t="s">
        <v>1087</v>
      </c>
      <c r="L689" s="33">
        <v>1</v>
      </c>
      <c r="M689" s="157" t="s">
        <v>2526</v>
      </c>
      <c r="N689" s="157"/>
      <c r="O689" s="157" t="s">
        <v>552</v>
      </c>
      <c r="P689" s="164" t="s">
        <v>2528</v>
      </c>
    </row>
    <row r="690" s="93" customFormat="1" ht="20.1" customHeight="1" spans="1:16">
      <c r="A690" s="263" t="s">
        <v>553</v>
      </c>
      <c r="B690" s="297" t="s">
        <v>554</v>
      </c>
      <c r="C690" s="265">
        <f t="shared" ref="C690:I690" si="145">SUM(C691:C692)</f>
        <v>3462</v>
      </c>
      <c r="D690" s="265">
        <f t="shared" si="130"/>
        <v>2745</v>
      </c>
      <c r="E690" s="265">
        <f t="shared" si="145"/>
        <v>17</v>
      </c>
      <c r="F690" s="265">
        <f t="shared" si="145"/>
        <v>0</v>
      </c>
      <c r="G690" s="265">
        <f t="shared" si="145"/>
        <v>19</v>
      </c>
      <c r="H690" s="265">
        <f t="shared" si="145"/>
        <v>0</v>
      </c>
      <c r="I690" s="265">
        <f t="shared" si="145"/>
        <v>2709</v>
      </c>
      <c r="J690" s="298"/>
      <c r="K690" s="284" t="s">
        <v>1082</v>
      </c>
      <c r="L690" s="285"/>
      <c r="M690" s="263" t="s">
        <v>553</v>
      </c>
      <c r="N690" s="263" t="s">
        <v>532</v>
      </c>
      <c r="O690" s="263" t="s">
        <v>553</v>
      </c>
      <c r="P690" s="286" t="s">
        <v>2529</v>
      </c>
    </row>
    <row r="691" s="92" customFormat="1" ht="20.1" customHeight="1" spans="1:16">
      <c r="A691" s="183" t="s">
        <v>2530</v>
      </c>
      <c r="B691" s="305" t="s">
        <v>2531</v>
      </c>
      <c r="C691" s="267">
        <v>106</v>
      </c>
      <c r="D691" s="268">
        <f t="shared" si="130"/>
        <v>42</v>
      </c>
      <c r="E691" s="267"/>
      <c r="F691" s="267"/>
      <c r="G691" s="267">
        <v>15</v>
      </c>
      <c r="H691" s="267"/>
      <c r="I691" s="287">
        <v>27</v>
      </c>
      <c r="J691" s="288"/>
      <c r="K691" s="276" t="s">
        <v>1087</v>
      </c>
      <c r="L691" s="33">
        <v>1</v>
      </c>
      <c r="M691" s="157" t="s">
        <v>2530</v>
      </c>
      <c r="N691" s="157"/>
      <c r="O691" s="157" t="s">
        <v>553</v>
      </c>
      <c r="P691" s="306" t="s">
        <v>2532</v>
      </c>
    </row>
    <row r="692" s="92" customFormat="1" ht="20.1" customHeight="1" spans="1:16">
      <c r="A692" s="183" t="s">
        <v>2533</v>
      </c>
      <c r="B692" s="305" t="s">
        <v>2534</v>
      </c>
      <c r="C692" s="267">
        <v>3356</v>
      </c>
      <c r="D692" s="268">
        <f t="shared" si="130"/>
        <v>2703</v>
      </c>
      <c r="E692" s="267">
        <v>17</v>
      </c>
      <c r="F692" s="267"/>
      <c r="G692" s="267">
        <v>4</v>
      </c>
      <c r="H692" s="267"/>
      <c r="I692" s="287">
        <v>2682</v>
      </c>
      <c r="J692" s="288"/>
      <c r="K692" s="276" t="s">
        <v>1087</v>
      </c>
      <c r="L692" s="33">
        <v>1</v>
      </c>
      <c r="M692" s="157" t="s">
        <v>2533</v>
      </c>
      <c r="N692" s="157"/>
      <c r="O692" s="157" t="s">
        <v>553</v>
      </c>
      <c r="P692" s="306" t="s">
        <v>2535</v>
      </c>
    </row>
    <row r="693" s="93" customFormat="1" ht="20.1" customHeight="1" spans="1:16">
      <c r="A693" s="263" t="s">
        <v>555</v>
      </c>
      <c r="B693" s="297" t="s">
        <v>319</v>
      </c>
      <c r="C693" s="265">
        <f t="shared" ref="C693:I693" si="146">SUM(C694)</f>
        <v>1052</v>
      </c>
      <c r="D693" s="265">
        <f t="shared" si="130"/>
        <v>1198</v>
      </c>
      <c r="E693" s="265">
        <f t="shared" si="146"/>
        <v>0</v>
      </c>
      <c r="F693" s="265">
        <f t="shared" si="146"/>
        <v>0</v>
      </c>
      <c r="G693" s="265">
        <f t="shared" si="146"/>
        <v>651</v>
      </c>
      <c r="H693" s="265">
        <f t="shared" si="146"/>
        <v>0</v>
      </c>
      <c r="I693" s="265">
        <f t="shared" si="146"/>
        <v>547</v>
      </c>
      <c r="J693" s="298">
        <f t="shared" si="144"/>
        <v>113.88</v>
      </c>
      <c r="K693" s="284" t="s">
        <v>1082</v>
      </c>
      <c r="L693" s="285"/>
      <c r="M693" s="263" t="s">
        <v>555</v>
      </c>
      <c r="N693" s="263" t="s">
        <v>532</v>
      </c>
      <c r="O693" s="263" t="s">
        <v>555</v>
      </c>
      <c r="P693" s="286" t="s">
        <v>2536</v>
      </c>
    </row>
    <row r="694" s="92" customFormat="1" ht="20.1" customHeight="1" spans="1:16">
      <c r="A694" s="636" t="s">
        <v>2537</v>
      </c>
      <c r="B694" s="36" t="s">
        <v>2538</v>
      </c>
      <c r="C694" s="267">
        <v>1052</v>
      </c>
      <c r="D694" s="268">
        <f t="shared" si="130"/>
        <v>1198</v>
      </c>
      <c r="E694" s="267"/>
      <c r="F694" s="267"/>
      <c r="G694" s="267">
        <v>651</v>
      </c>
      <c r="H694" s="267"/>
      <c r="I694" s="287">
        <v>547</v>
      </c>
      <c r="J694" s="288">
        <f t="shared" si="144"/>
        <v>113.88</v>
      </c>
      <c r="K694" s="276"/>
      <c r="L694" s="33">
        <v>1</v>
      </c>
      <c r="M694" s="157" t="s">
        <v>2537</v>
      </c>
      <c r="N694" s="157" t="s">
        <v>532</v>
      </c>
      <c r="O694" s="157" t="s">
        <v>555</v>
      </c>
      <c r="P694" s="163" t="s">
        <v>2536</v>
      </c>
    </row>
    <row r="695" s="93" customFormat="1" ht="20.1" customHeight="1" spans="1:16">
      <c r="A695" s="154" t="s">
        <v>556</v>
      </c>
      <c r="B695" s="261" t="s">
        <v>320</v>
      </c>
      <c r="C695" s="262">
        <f t="shared" ref="C695:I695" si="147">C696+C701+C716+C720+C761+C732+C736+C741+C745+C749+C752+C776+C768+C773</f>
        <v>24138</v>
      </c>
      <c r="D695" s="262">
        <f t="shared" si="130"/>
        <v>21790</v>
      </c>
      <c r="E695" s="262">
        <f t="shared" si="147"/>
        <v>4766</v>
      </c>
      <c r="F695" s="262">
        <f t="shared" si="147"/>
        <v>0</v>
      </c>
      <c r="G695" s="262">
        <f t="shared" si="147"/>
        <v>3380</v>
      </c>
      <c r="H695" s="262">
        <f t="shared" si="147"/>
        <v>0</v>
      </c>
      <c r="I695" s="262">
        <f t="shared" si="147"/>
        <v>13644</v>
      </c>
      <c r="J695" s="279">
        <f t="shared" si="144"/>
        <v>90.27</v>
      </c>
      <c r="K695" s="280" t="s">
        <v>1081</v>
      </c>
      <c r="L695" s="281"/>
      <c r="M695" s="154" t="s">
        <v>556</v>
      </c>
      <c r="N695" s="154" t="s">
        <v>556</v>
      </c>
      <c r="O695" s="154" t="s">
        <v>556</v>
      </c>
      <c r="P695" s="307" t="s">
        <v>2539</v>
      </c>
    </row>
    <row r="696" s="93" customFormat="1" ht="20.1" customHeight="1" spans="1:16">
      <c r="A696" s="263" t="s">
        <v>557</v>
      </c>
      <c r="B696" s="297" t="s">
        <v>321</v>
      </c>
      <c r="C696" s="265">
        <f t="shared" ref="C696:I696" si="148">SUM(C697:C700)</f>
        <v>464</v>
      </c>
      <c r="D696" s="265">
        <f t="shared" si="130"/>
        <v>551</v>
      </c>
      <c r="E696" s="265">
        <f t="shared" si="148"/>
        <v>19</v>
      </c>
      <c r="F696" s="265">
        <f t="shared" si="148"/>
        <v>0</v>
      </c>
      <c r="G696" s="265">
        <f t="shared" si="148"/>
        <v>0</v>
      </c>
      <c r="H696" s="265">
        <f t="shared" si="148"/>
        <v>0</v>
      </c>
      <c r="I696" s="265">
        <f t="shared" si="148"/>
        <v>532</v>
      </c>
      <c r="J696" s="298">
        <f t="shared" si="144"/>
        <v>118.75</v>
      </c>
      <c r="K696" s="284" t="s">
        <v>1082</v>
      </c>
      <c r="L696" s="285"/>
      <c r="M696" s="263" t="s">
        <v>557</v>
      </c>
      <c r="N696" s="263" t="s">
        <v>556</v>
      </c>
      <c r="O696" s="263" t="s">
        <v>557</v>
      </c>
      <c r="P696" s="286" t="s">
        <v>2540</v>
      </c>
    </row>
    <row r="697" s="92" customFormat="1" ht="20.1" customHeight="1" spans="1:16">
      <c r="A697" s="157" t="s">
        <v>2541</v>
      </c>
      <c r="B697" s="36" t="s">
        <v>1086</v>
      </c>
      <c r="C697" s="267">
        <v>205</v>
      </c>
      <c r="D697" s="268">
        <f t="shared" ref="D697:D760" si="149">SUM(E697:I697)</f>
        <v>291</v>
      </c>
      <c r="E697" s="267"/>
      <c r="F697" s="267"/>
      <c r="G697" s="267"/>
      <c r="H697" s="267"/>
      <c r="I697" s="287">
        <v>291</v>
      </c>
      <c r="J697" s="288">
        <f t="shared" si="144"/>
        <v>141.95</v>
      </c>
      <c r="K697" s="276" t="s">
        <v>1087</v>
      </c>
      <c r="L697" s="33">
        <v>1</v>
      </c>
      <c r="M697" s="157" t="s">
        <v>2541</v>
      </c>
      <c r="N697" s="157"/>
      <c r="O697" s="157" t="s">
        <v>557</v>
      </c>
      <c r="P697" s="164" t="s">
        <v>1088</v>
      </c>
    </row>
    <row r="698" s="92" customFormat="1" ht="20.1" customHeight="1" spans="1:16">
      <c r="A698" s="157" t="s">
        <v>2542</v>
      </c>
      <c r="B698" s="36" t="s">
        <v>1090</v>
      </c>
      <c r="C698" s="267">
        <v>54</v>
      </c>
      <c r="D698" s="268">
        <f t="shared" si="149"/>
        <v>34</v>
      </c>
      <c r="E698" s="267"/>
      <c r="F698" s="267"/>
      <c r="G698" s="267"/>
      <c r="H698" s="267"/>
      <c r="I698" s="287">
        <v>34</v>
      </c>
      <c r="J698" s="288">
        <f t="shared" si="144"/>
        <v>62.96</v>
      </c>
      <c r="K698" s="276" t="s">
        <v>1087</v>
      </c>
      <c r="L698" s="33">
        <v>1</v>
      </c>
      <c r="M698" s="157" t="s">
        <v>2542</v>
      </c>
      <c r="N698" s="157"/>
      <c r="O698" s="157" t="s">
        <v>557</v>
      </c>
      <c r="P698" s="164" t="s">
        <v>1091</v>
      </c>
    </row>
    <row r="699" s="92" customFormat="1" ht="20.1" customHeight="1" spans="1:16">
      <c r="A699" s="157" t="s">
        <v>2543</v>
      </c>
      <c r="B699" s="36" t="s">
        <v>1093</v>
      </c>
      <c r="C699" s="267"/>
      <c r="D699" s="268">
        <f t="shared" si="149"/>
        <v>0</v>
      </c>
      <c r="E699" s="267"/>
      <c r="F699" s="267"/>
      <c r="G699" s="267"/>
      <c r="H699" s="267"/>
      <c r="I699" s="287"/>
      <c r="J699" s="288">
        <f t="shared" si="144"/>
        <v>0</v>
      </c>
      <c r="K699" s="276" t="s">
        <v>1087</v>
      </c>
      <c r="L699" s="33">
        <v>1</v>
      </c>
      <c r="M699" s="157" t="s">
        <v>2543</v>
      </c>
      <c r="N699" s="157"/>
      <c r="O699" s="157" t="s">
        <v>557</v>
      </c>
      <c r="P699" s="164" t="s">
        <v>1094</v>
      </c>
    </row>
    <row r="700" s="92" customFormat="1" ht="20.1" customHeight="1" spans="1:16">
      <c r="A700" s="157" t="s">
        <v>2544</v>
      </c>
      <c r="B700" s="36" t="s">
        <v>2545</v>
      </c>
      <c r="C700" s="267">
        <v>205</v>
      </c>
      <c r="D700" s="268">
        <f t="shared" si="149"/>
        <v>226</v>
      </c>
      <c r="E700" s="267">
        <v>19</v>
      </c>
      <c r="F700" s="267"/>
      <c r="G700" s="267"/>
      <c r="H700" s="267"/>
      <c r="I700" s="287">
        <v>207</v>
      </c>
      <c r="J700" s="288">
        <f t="shared" si="144"/>
        <v>110.24</v>
      </c>
      <c r="K700" s="276" t="s">
        <v>1087</v>
      </c>
      <c r="L700" s="33">
        <v>1</v>
      </c>
      <c r="M700" s="157" t="s">
        <v>2544</v>
      </c>
      <c r="N700" s="157"/>
      <c r="O700" s="157" t="s">
        <v>557</v>
      </c>
      <c r="P700" s="164" t="s">
        <v>2546</v>
      </c>
    </row>
    <row r="701" s="93" customFormat="1" ht="20.1" customHeight="1" spans="1:16">
      <c r="A701" s="263" t="s">
        <v>558</v>
      </c>
      <c r="B701" s="297" t="s">
        <v>322</v>
      </c>
      <c r="C701" s="265">
        <f t="shared" ref="C701:I701" si="150">SUM(C702:C715)</f>
        <v>2213</v>
      </c>
      <c r="D701" s="265">
        <f t="shared" si="149"/>
        <v>2209</v>
      </c>
      <c r="E701" s="265">
        <f t="shared" si="150"/>
        <v>74</v>
      </c>
      <c r="F701" s="265">
        <f t="shared" si="150"/>
        <v>0</v>
      </c>
      <c r="G701" s="265">
        <f t="shared" si="150"/>
        <v>254</v>
      </c>
      <c r="H701" s="265">
        <f t="shared" si="150"/>
        <v>0</v>
      </c>
      <c r="I701" s="265">
        <f t="shared" si="150"/>
        <v>1881</v>
      </c>
      <c r="J701" s="298">
        <f t="shared" si="144"/>
        <v>99.82</v>
      </c>
      <c r="K701" s="284" t="s">
        <v>1082</v>
      </c>
      <c r="L701" s="285"/>
      <c r="M701" s="263" t="s">
        <v>558</v>
      </c>
      <c r="N701" s="263" t="s">
        <v>556</v>
      </c>
      <c r="O701" s="263" t="s">
        <v>558</v>
      </c>
      <c r="P701" s="286" t="s">
        <v>2547</v>
      </c>
    </row>
    <row r="702" s="92" customFormat="1" ht="20.1" customHeight="1" spans="1:16">
      <c r="A702" s="157" t="s">
        <v>2548</v>
      </c>
      <c r="B702" s="36" t="s">
        <v>2549</v>
      </c>
      <c r="C702" s="267">
        <v>1036</v>
      </c>
      <c r="D702" s="268">
        <f t="shared" si="149"/>
        <v>1122</v>
      </c>
      <c r="E702" s="267"/>
      <c r="F702" s="267"/>
      <c r="G702" s="267"/>
      <c r="H702" s="267"/>
      <c r="I702" s="287">
        <v>1122</v>
      </c>
      <c r="J702" s="288">
        <f t="shared" si="144"/>
        <v>108.3</v>
      </c>
      <c r="K702" s="276" t="s">
        <v>1087</v>
      </c>
      <c r="L702" s="33">
        <v>1</v>
      </c>
      <c r="M702" s="157" t="s">
        <v>2548</v>
      </c>
      <c r="N702" s="157"/>
      <c r="O702" s="157" t="s">
        <v>558</v>
      </c>
      <c r="P702" s="163" t="s">
        <v>2550</v>
      </c>
    </row>
    <row r="703" s="92" customFormat="1" ht="20.1" customHeight="1" spans="1:16">
      <c r="A703" s="157" t="s">
        <v>2551</v>
      </c>
      <c r="B703" s="36" t="s">
        <v>2552</v>
      </c>
      <c r="C703" s="267">
        <v>1177</v>
      </c>
      <c r="D703" s="268">
        <f t="shared" si="149"/>
        <v>759</v>
      </c>
      <c r="E703" s="267"/>
      <c r="F703" s="267"/>
      <c r="G703" s="267">
        <v>1</v>
      </c>
      <c r="H703" s="267"/>
      <c r="I703" s="287">
        <v>758</v>
      </c>
      <c r="J703" s="288">
        <f t="shared" si="144"/>
        <v>64.49</v>
      </c>
      <c r="K703" s="276" t="s">
        <v>1087</v>
      </c>
      <c r="L703" s="33">
        <v>1</v>
      </c>
      <c r="M703" s="157" t="s">
        <v>2551</v>
      </c>
      <c r="N703" s="157"/>
      <c r="O703" s="157" t="s">
        <v>558</v>
      </c>
      <c r="P703" s="163" t="s">
        <v>2553</v>
      </c>
    </row>
    <row r="704" s="92" customFormat="1" ht="20.1" customHeight="1" spans="1:16">
      <c r="A704" s="157" t="s">
        <v>2554</v>
      </c>
      <c r="B704" s="36" t="s">
        <v>2555</v>
      </c>
      <c r="C704" s="267"/>
      <c r="D704" s="268">
        <f t="shared" si="149"/>
        <v>0</v>
      </c>
      <c r="E704" s="267"/>
      <c r="F704" s="267"/>
      <c r="G704" s="267"/>
      <c r="H704" s="267"/>
      <c r="I704" s="287"/>
      <c r="J704" s="288">
        <f t="shared" si="144"/>
        <v>0</v>
      </c>
      <c r="K704" s="276" t="s">
        <v>1087</v>
      </c>
      <c r="L704" s="33">
        <v>1</v>
      </c>
      <c r="M704" s="157" t="s">
        <v>2554</v>
      </c>
      <c r="N704" s="157"/>
      <c r="O704" s="157" t="s">
        <v>558</v>
      </c>
      <c r="P704" s="163" t="s">
        <v>2556</v>
      </c>
    </row>
    <row r="705" s="92" customFormat="1" ht="20.1" customHeight="1" spans="1:16">
      <c r="A705" s="157" t="s">
        <v>2557</v>
      </c>
      <c r="B705" s="36" t="s">
        <v>2558</v>
      </c>
      <c r="C705" s="267"/>
      <c r="D705" s="268">
        <f t="shared" si="149"/>
        <v>0</v>
      </c>
      <c r="E705" s="267"/>
      <c r="F705" s="267"/>
      <c r="G705" s="267"/>
      <c r="H705" s="267"/>
      <c r="I705" s="287"/>
      <c r="J705" s="288">
        <f t="shared" si="144"/>
        <v>0</v>
      </c>
      <c r="K705" s="276" t="s">
        <v>1087</v>
      </c>
      <c r="L705" s="33">
        <v>1</v>
      </c>
      <c r="M705" s="157" t="s">
        <v>2557</v>
      </c>
      <c r="N705" s="157"/>
      <c r="O705" s="157" t="s">
        <v>558</v>
      </c>
      <c r="P705" s="163" t="s">
        <v>2559</v>
      </c>
    </row>
    <row r="706" s="252" customFormat="1" ht="20.1" customHeight="1" spans="1:16">
      <c r="A706" s="157" t="s">
        <v>2560</v>
      </c>
      <c r="B706" s="36" t="s">
        <v>2561</v>
      </c>
      <c r="C706" s="267"/>
      <c r="D706" s="268">
        <f t="shared" si="149"/>
        <v>0</v>
      </c>
      <c r="E706" s="267"/>
      <c r="F706" s="267"/>
      <c r="G706" s="267"/>
      <c r="H706" s="267"/>
      <c r="I706" s="287"/>
      <c r="J706" s="288">
        <f t="shared" si="144"/>
        <v>0</v>
      </c>
      <c r="K706" s="276" t="s">
        <v>1087</v>
      </c>
      <c r="L706" s="33">
        <v>1</v>
      </c>
      <c r="M706" s="157" t="s">
        <v>2560</v>
      </c>
      <c r="N706" s="157"/>
      <c r="O706" s="157" t="s">
        <v>558</v>
      </c>
      <c r="P706" s="163" t="s">
        <v>2562</v>
      </c>
    </row>
    <row r="707" s="252" customFormat="1" ht="20.1" customHeight="1" spans="1:16">
      <c r="A707" s="157" t="s">
        <v>2563</v>
      </c>
      <c r="B707" s="36" t="s">
        <v>2564</v>
      </c>
      <c r="C707" s="267"/>
      <c r="D707" s="268">
        <f t="shared" si="149"/>
        <v>5</v>
      </c>
      <c r="E707" s="267"/>
      <c r="F707" s="267"/>
      <c r="G707" s="267">
        <v>5</v>
      </c>
      <c r="H707" s="267"/>
      <c r="I707" s="287"/>
      <c r="J707" s="288">
        <f t="shared" si="144"/>
        <v>100</v>
      </c>
      <c r="K707" s="276" t="s">
        <v>1087</v>
      </c>
      <c r="L707" s="33">
        <v>1</v>
      </c>
      <c r="M707" s="157" t="s">
        <v>2563</v>
      </c>
      <c r="N707" s="157"/>
      <c r="O707" s="157" t="s">
        <v>558</v>
      </c>
      <c r="P707" s="163" t="s">
        <v>2565</v>
      </c>
    </row>
    <row r="708" s="252" customFormat="1" ht="20.1" customHeight="1" spans="1:16">
      <c r="A708" s="157" t="s">
        <v>2566</v>
      </c>
      <c r="B708" s="36" t="s">
        <v>2567</v>
      </c>
      <c r="C708" s="267"/>
      <c r="D708" s="268">
        <f t="shared" si="149"/>
        <v>0</v>
      </c>
      <c r="E708" s="267"/>
      <c r="F708" s="267"/>
      <c r="G708" s="267"/>
      <c r="H708" s="267"/>
      <c r="I708" s="287"/>
      <c r="J708" s="288">
        <f t="shared" si="144"/>
        <v>0</v>
      </c>
      <c r="K708" s="276" t="s">
        <v>1087</v>
      </c>
      <c r="L708" s="33">
        <v>1</v>
      </c>
      <c r="M708" s="157" t="s">
        <v>2566</v>
      </c>
      <c r="N708" s="157"/>
      <c r="O708" s="157" t="s">
        <v>558</v>
      </c>
      <c r="P708" s="163" t="s">
        <v>2568</v>
      </c>
    </row>
    <row r="709" s="92" customFormat="1" ht="20.1" customHeight="1" spans="1:16">
      <c r="A709" s="157" t="s">
        <v>2569</v>
      </c>
      <c r="B709" s="36" t="s">
        <v>2570</v>
      </c>
      <c r="C709" s="267"/>
      <c r="D709" s="268">
        <f t="shared" si="149"/>
        <v>0</v>
      </c>
      <c r="E709" s="267"/>
      <c r="F709" s="267"/>
      <c r="G709" s="267"/>
      <c r="H709" s="267"/>
      <c r="I709" s="287"/>
      <c r="J709" s="288">
        <f t="shared" si="144"/>
        <v>0</v>
      </c>
      <c r="K709" s="276" t="s">
        <v>1087</v>
      </c>
      <c r="L709" s="33">
        <v>1</v>
      </c>
      <c r="M709" s="157" t="s">
        <v>2569</v>
      </c>
      <c r="N709" s="157"/>
      <c r="O709" s="157" t="s">
        <v>558</v>
      </c>
      <c r="P709" s="163" t="s">
        <v>2571</v>
      </c>
    </row>
    <row r="710" s="92" customFormat="1" ht="20.1" customHeight="1" spans="1:16">
      <c r="A710" s="157" t="s">
        <v>2572</v>
      </c>
      <c r="B710" s="36" t="s">
        <v>2573</v>
      </c>
      <c r="C710" s="267"/>
      <c r="D710" s="268">
        <f t="shared" si="149"/>
        <v>0</v>
      </c>
      <c r="E710" s="267"/>
      <c r="F710" s="267"/>
      <c r="G710" s="267"/>
      <c r="H710" s="267"/>
      <c r="I710" s="287"/>
      <c r="J710" s="288">
        <f t="shared" si="144"/>
        <v>0</v>
      </c>
      <c r="K710" s="276" t="s">
        <v>1087</v>
      </c>
      <c r="L710" s="33">
        <v>1</v>
      </c>
      <c r="M710" s="157" t="s">
        <v>2572</v>
      </c>
      <c r="N710" s="157"/>
      <c r="O710" s="157" t="s">
        <v>558</v>
      </c>
      <c r="P710" s="163" t="s">
        <v>2574</v>
      </c>
    </row>
    <row r="711" s="92" customFormat="1" ht="20.1" customHeight="1" spans="1:16">
      <c r="A711" s="157" t="s">
        <v>2575</v>
      </c>
      <c r="B711" s="36" t="s">
        <v>2576</v>
      </c>
      <c r="C711" s="267"/>
      <c r="D711" s="268">
        <f t="shared" si="149"/>
        <v>0</v>
      </c>
      <c r="E711" s="267"/>
      <c r="F711" s="267"/>
      <c r="G711" s="267"/>
      <c r="H711" s="267"/>
      <c r="I711" s="287"/>
      <c r="J711" s="288">
        <f t="shared" si="144"/>
        <v>0</v>
      </c>
      <c r="K711" s="276" t="s">
        <v>1087</v>
      </c>
      <c r="L711" s="33">
        <v>1</v>
      </c>
      <c r="M711" s="157" t="s">
        <v>2575</v>
      </c>
      <c r="N711" s="157"/>
      <c r="O711" s="157" t="s">
        <v>558</v>
      </c>
      <c r="P711" s="163" t="s">
        <v>2577</v>
      </c>
    </row>
    <row r="712" s="92" customFormat="1" ht="20.1" customHeight="1" spans="1:16">
      <c r="A712" s="157" t="s">
        <v>2578</v>
      </c>
      <c r="B712" s="36" t="s">
        <v>2579</v>
      </c>
      <c r="C712" s="267"/>
      <c r="D712" s="268">
        <f t="shared" si="149"/>
        <v>0</v>
      </c>
      <c r="E712" s="267"/>
      <c r="F712" s="267"/>
      <c r="G712" s="267"/>
      <c r="H712" s="267"/>
      <c r="I712" s="287"/>
      <c r="J712" s="288">
        <f t="shared" si="144"/>
        <v>0</v>
      </c>
      <c r="K712" s="276" t="s">
        <v>1087</v>
      </c>
      <c r="L712" s="33">
        <v>1</v>
      </c>
      <c r="M712" s="157" t="s">
        <v>2578</v>
      </c>
      <c r="N712" s="157"/>
      <c r="O712" s="157" t="s">
        <v>558</v>
      </c>
      <c r="P712" s="163" t="s">
        <v>2580</v>
      </c>
    </row>
    <row r="713" s="92" customFormat="1" ht="20.1" customHeight="1" spans="1:16">
      <c r="A713" s="157" t="s">
        <v>2581</v>
      </c>
      <c r="B713" s="36" t="s">
        <v>2582</v>
      </c>
      <c r="C713" s="267"/>
      <c r="D713" s="268">
        <f t="shared" si="149"/>
        <v>0</v>
      </c>
      <c r="E713" s="267"/>
      <c r="F713" s="267"/>
      <c r="G713" s="267"/>
      <c r="H713" s="267"/>
      <c r="I713" s="287"/>
      <c r="J713" s="288"/>
      <c r="K713" s="276" t="s">
        <v>1087</v>
      </c>
      <c r="L713" s="33">
        <v>1</v>
      </c>
      <c r="M713" s="157" t="s">
        <v>2581</v>
      </c>
      <c r="N713" s="157"/>
      <c r="O713" s="157" t="s">
        <v>558</v>
      </c>
      <c r="P713" s="36" t="s">
        <v>2583</v>
      </c>
    </row>
    <row r="714" s="92" customFormat="1" ht="20.1" customHeight="1" spans="1:16">
      <c r="A714" s="157" t="s">
        <v>2584</v>
      </c>
      <c r="B714" s="36" t="s">
        <v>2585</v>
      </c>
      <c r="C714" s="267"/>
      <c r="D714" s="268">
        <f t="shared" si="149"/>
        <v>0</v>
      </c>
      <c r="E714" s="267"/>
      <c r="F714" s="267"/>
      <c r="G714" s="267"/>
      <c r="H714" s="267"/>
      <c r="I714" s="287"/>
      <c r="J714" s="288"/>
      <c r="K714" s="276" t="s">
        <v>1087</v>
      </c>
      <c r="L714" s="33">
        <v>1</v>
      </c>
      <c r="M714" s="157" t="s">
        <v>2584</v>
      </c>
      <c r="N714" s="157"/>
      <c r="O714" s="157" t="s">
        <v>558</v>
      </c>
      <c r="P714" s="36" t="s">
        <v>2586</v>
      </c>
    </row>
    <row r="715" s="92" customFormat="1" ht="20.1" customHeight="1" spans="1:16">
      <c r="A715" s="157" t="s">
        <v>2587</v>
      </c>
      <c r="B715" s="36" t="s">
        <v>2588</v>
      </c>
      <c r="C715" s="267"/>
      <c r="D715" s="268">
        <f t="shared" si="149"/>
        <v>323</v>
      </c>
      <c r="E715" s="267">
        <v>74</v>
      </c>
      <c r="F715" s="267"/>
      <c r="G715" s="267">
        <v>248</v>
      </c>
      <c r="H715" s="267"/>
      <c r="I715" s="287">
        <v>1</v>
      </c>
      <c r="J715" s="288">
        <f t="shared" ref="J715:J762" si="151">ROUND(IF(C715=0,IF(D715=0,0,1),IF(D715=0,-1,D715/C715)),4)*100</f>
        <v>100</v>
      </c>
      <c r="K715" s="276" t="s">
        <v>1087</v>
      </c>
      <c r="L715" s="33">
        <v>1</v>
      </c>
      <c r="M715" s="157" t="s">
        <v>2587</v>
      </c>
      <c r="N715" s="157"/>
      <c r="O715" s="157" t="s">
        <v>558</v>
      </c>
      <c r="P715" s="163" t="s">
        <v>2589</v>
      </c>
    </row>
    <row r="716" s="93" customFormat="1" ht="20.1" customHeight="1" spans="1:16">
      <c r="A716" s="263" t="s">
        <v>559</v>
      </c>
      <c r="B716" s="297" t="s">
        <v>323</v>
      </c>
      <c r="C716" s="265">
        <f t="shared" ref="C716:I716" si="152">SUM(C717:C719)</f>
        <v>3565</v>
      </c>
      <c r="D716" s="265">
        <f t="shared" si="149"/>
        <v>4618</v>
      </c>
      <c r="E716" s="265">
        <f t="shared" si="152"/>
        <v>502</v>
      </c>
      <c r="F716" s="265">
        <f t="shared" si="152"/>
        <v>0</v>
      </c>
      <c r="G716" s="265">
        <f t="shared" si="152"/>
        <v>860</v>
      </c>
      <c r="H716" s="265">
        <f t="shared" si="152"/>
        <v>0</v>
      </c>
      <c r="I716" s="265">
        <f t="shared" si="152"/>
        <v>3256</v>
      </c>
      <c r="J716" s="298">
        <f t="shared" si="151"/>
        <v>129.54</v>
      </c>
      <c r="K716" s="284" t="s">
        <v>1082</v>
      </c>
      <c r="L716" s="285"/>
      <c r="M716" s="263" t="s">
        <v>559</v>
      </c>
      <c r="N716" s="263" t="s">
        <v>556</v>
      </c>
      <c r="O716" s="263" t="s">
        <v>559</v>
      </c>
      <c r="P716" s="286" t="s">
        <v>2590</v>
      </c>
    </row>
    <row r="717" s="252" customFormat="1" ht="20.1" customHeight="1" spans="1:16">
      <c r="A717" s="157" t="s">
        <v>2591</v>
      </c>
      <c r="B717" s="36" t="s">
        <v>2592</v>
      </c>
      <c r="C717" s="267"/>
      <c r="D717" s="268">
        <f t="shared" si="149"/>
        <v>0</v>
      </c>
      <c r="E717" s="267"/>
      <c r="F717" s="267"/>
      <c r="G717" s="267"/>
      <c r="H717" s="267"/>
      <c r="I717" s="287"/>
      <c r="J717" s="288">
        <f t="shared" si="151"/>
        <v>0</v>
      </c>
      <c r="K717" s="276" t="s">
        <v>1087</v>
      </c>
      <c r="L717" s="33">
        <v>1</v>
      </c>
      <c r="M717" s="157" t="s">
        <v>2591</v>
      </c>
      <c r="N717" s="157"/>
      <c r="O717" s="157" t="s">
        <v>559</v>
      </c>
      <c r="P717" s="163" t="s">
        <v>2593</v>
      </c>
    </row>
    <row r="718" s="252" customFormat="1" ht="20.1" customHeight="1" spans="1:16">
      <c r="A718" s="157" t="s">
        <v>2594</v>
      </c>
      <c r="B718" s="36" t="s">
        <v>2595</v>
      </c>
      <c r="C718" s="267">
        <v>2610</v>
      </c>
      <c r="D718" s="268">
        <f t="shared" si="149"/>
        <v>2752</v>
      </c>
      <c r="E718" s="267"/>
      <c r="F718" s="267"/>
      <c r="G718" s="267"/>
      <c r="H718" s="267"/>
      <c r="I718" s="287">
        <v>2752</v>
      </c>
      <c r="J718" s="288">
        <f t="shared" si="151"/>
        <v>105.44</v>
      </c>
      <c r="K718" s="276" t="s">
        <v>1087</v>
      </c>
      <c r="L718" s="33">
        <v>1</v>
      </c>
      <c r="M718" s="157" t="s">
        <v>2594</v>
      </c>
      <c r="N718" s="157"/>
      <c r="O718" s="157" t="s">
        <v>559</v>
      </c>
      <c r="P718" s="163" t="s">
        <v>2596</v>
      </c>
    </row>
    <row r="719" s="252" customFormat="1" ht="20.1" customHeight="1" spans="1:16">
      <c r="A719" s="157" t="s">
        <v>2597</v>
      </c>
      <c r="B719" s="36" t="s">
        <v>2598</v>
      </c>
      <c r="C719" s="267">
        <v>955</v>
      </c>
      <c r="D719" s="268">
        <f t="shared" si="149"/>
        <v>1866</v>
      </c>
      <c r="E719" s="267">
        <v>502</v>
      </c>
      <c r="F719" s="267"/>
      <c r="G719" s="267">
        <v>860</v>
      </c>
      <c r="H719" s="267"/>
      <c r="I719" s="287">
        <v>504</v>
      </c>
      <c r="J719" s="288">
        <f t="shared" si="151"/>
        <v>195.39</v>
      </c>
      <c r="K719" s="276" t="s">
        <v>1087</v>
      </c>
      <c r="L719" s="33">
        <v>1</v>
      </c>
      <c r="M719" s="157" t="s">
        <v>2597</v>
      </c>
      <c r="N719" s="157"/>
      <c r="O719" s="157" t="s">
        <v>559</v>
      </c>
      <c r="P719" s="163" t="s">
        <v>2599</v>
      </c>
    </row>
    <row r="720" s="93" customFormat="1" ht="20.1" customHeight="1" spans="1:16">
      <c r="A720" s="263" t="s">
        <v>560</v>
      </c>
      <c r="B720" s="297" t="s">
        <v>324</v>
      </c>
      <c r="C720" s="265">
        <f t="shared" ref="C720:I720" si="153">SUM(C721:C731)</f>
        <v>4504</v>
      </c>
      <c r="D720" s="265">
        <f t="shared" si="149"/>
        <v>2528</v>
      </c>
      <c r="E720" s="265">
        <f t="shared" si="153"/>
        <v>101</v>
      </c>
      <c r="F720" s="265">
        <f t="shared" si="153"/>
        <v>0</v>
      </c>
      <c r="G720" s="265">
        <f t="shared" si="153"/>
        <v>949</v>
      </c>
      <c r="H720" s="265">
        <f t="shared" si="153"/>
        <v>0</v>
      </c>
      <c r="I720" s="265">
        <f t="shared" si="153"/>
        <v>1478</v>
      </c>
      <c r="J720" s="298">
        <f t="shared" si="151"/>
        <v>56.13</v>
      </c>
      <c r="K720" s="284" t="s">
        <v>1082</v>
      </c>
      <c r="L720" s="285"/>
      <c r="M720" s="263" t="s">
        <v>560</v>
      </c>
      <c r="N720" s="263" t="s">
        <v>556</v>
      </c>
      <c r="O720" s="263" t="s">
        <v>560</v>
      </c>
      <c r="P720" s="286" t="s">
        <v>2600</v>
      </c>
    </row>
    <row r="721" s="252" customFormat="1" ht="20.1" customHeight="1" spans="1:16">
      <c r="A721" s="157" t="s">
        <v>2601</v>
      </c>
      <c r="B721" s="36" t="s">
        <v>2602</v>
      </c>
      <c r="C721" s="267">
        <v>418</v>
      </c>
      <c r="D721" s="268">
        <f t="shared" si="149"/>
        <v>377</v>
      </c>
      <c r="E721" s="267"/>
      <c r="F721" s="267"/>
      <c r="G721" s="267"/>
      <c r="H721" s="267"/>
      <c r="I721" s="287">
        <v>377</v>
      </c>
      <c r="J721" s="288">
        <f t="shared" si="151"/>
        <v>90.19</v>
      </c>
      <c r="K721" s="276" t="s">
        <v>1087</v>
      </c>
      <c r="L721" s="33">
        <v>1</v>
      </c>
      <c r="M721" s="157" t="s">
        <v>2601</v>
      </c>
      <c r="N721" s="157"/>
      <c r="O721" s="157" t="s">
        <v>560</v>
      </c>
      <c r="P721" s="163" t="s">
        <v>2603</v>
      </c>
    </row>
    <row r="722" s="252" customFormat="1" ht="20.1" customHeight="1" spans="1:16">
      <c r="A722" s="157" t="s">
        <v>2604</v>
      </c>
      <c r="B722" s="36" t="s">
        <v>2605</v>
      </c>
      <c r="C722" s="267">
        <v>84</v>
      </c>
      <c r="D722" s="268">
        <f t="shared" si="149"/>
        <v>58</v>
      </c>
      <c r="E722" s="267"/>
      <c r="F722" s="267"/>
      <c r="G722" s="267">
        <v>4</v>
      </c>
      <c r="H722" s="267"/>
      <c r="I722" s="287">
        <v>54</v>
      </c>
      <c r="J722" s="288">
        <f t="shared" si="151"/>
        <v>69.05</v>
      </c>
      <c r="K722" s="276" t="s">
        <v>1087</v>
      </c>
      <c r="L722" s="33">
        <v>1</v>
      </c>
      <c r="M722" s="157" t="s">
        <v>2604</v>
      </c>
      <c r="N722" s="157"/>
      <c r="O722" s="157" t="s">
        <v>560</v>
      </c>
      <c r="P722" s="163" t="s">
        <v>2606</v>
      </c>
    </row>
    <row r="723" s="252" customFormat="1" ht="20.1" customHeight="1" spans="1:16">
      <c r="A723" s="157" t="s">
        <v>2607</v>
      </c>
      <c r="B723" s="36" t="s">
        <v>2608</v>
      </c>
      <c r="C723" s="267">
        <v>802</v>
      </c>
      <c r="D723" s="268">
        <f t="shared" si="149"/>
        <v>851</v>
      </c>
      <c r="E723" s="267"/>
      <c r="F723" s="267"/>
      <c r="G723" s="267"/>
      <c r="H723" s="267"/>
      <c r="I723" s="287">
        <v>851</v>
      </c>
      <c r="J723" s="288">
        <f t="shared" si="151"/>
        <v>106.11</v>
      </c>
      <c r="K723" s="276" t="s">
        <v>1087</v>
      </c>
      <c r="L723" s="33">
        <v>1</v>
      </c>
      <c r="M723" s="157" t="s">
        <v>2607</v>
      </c>
      <c r="N723" s="157"/>
      <c r="O723" s="157" t="s">
        <v>560</v>
      </c>
      <c r="P723" s="163" t="s">
        <v>2609</v>
      </c>
    </row>
    <row r="724" s="252" customFormat="1" ht="20.1" customHeight="1" spans="1:16">
      <c r="A724" s="157" t="s">
        <v>2610</v>
      </c>
      <c r="B724" s="36" t="s">
        <v>2611</v>
      </c>
      <c r="C724" s="267"/>
      <c r="D724" s="268">
        <f t="shared" si="149"/>
        <v>0</v>
      </c>
      <c r="E724" s="267"/>
      <c r="F724" s="267"/>
      <c r="G724" s="267"/>
      <c r="H724" s="267"/>
      <c r="I724" s="287"/>
      <c r="J724" s="288">
        <f t="shared" si="151"/>
        <v>0</v>
      </c>
      <c r="K724" s="276" t="s">
        <v>1087</v>
      </c>
      <c r="L724" s="33">
        <v>1</v>
      </c>
      <c r="M724" s="157" t="s">
        <v>2610</v>
      </c>
      <c r="N724" s="157"/>
      <c r="O724" s="157" t="s">
        <v>560</v>
      </c>
      <c r="P724" s="163" t="s">
        <v>2612</v>
      </c>
    </row>
    <row r="725" s="252" customFormat="1" ht="20.1" customHeight="1" spans="1:16">
      <c r="A725" s="157" t="s">
        <v>2613</v>
      </c>
      <c r="B725" s="36" t="s">
        <v>2614</v>
      </c>
      <c r="C725" s="267"/>
      <c r="D725" s="268">
        <f t="shared" si="149"/>
        <v>0</v>
      </c>
      <c r="E725" s="267"/>
      <c r="F725" s="267"/>
      <c r="G725" s="267"/>
      <c r="H725" s="267"/>
      <c r="I725" s="287"/>
      <c r="J725" s="288">
        <f t="shared" si="151"/>
        <v>0</v>
      </c>
      <c r="K725" s="276" t="s">
        <v>1087</v>
      </c>
      <c r="L725" s="33">
        <v>1</v>
      </c>
      <c r="M725" s="157" t="s">
        <v>2613</v>
      </c>
      <c r="N725" s="157"/>
      <c r="O725" s="157" t="s">
        <v>560</v>
      </c>
      <c r="P725" s="163" t="s">
        <v>2615</v>
      </c>
    </row>
    <row r="726" s="92" customFormat="1" ht="20.1" customHeight="1" spans="1:16">
      <c r="A726" s="157" t="s">
        <v>2616</v>
      </c>
      <c r="B726" s="36" t="s">
        <v>2617</v>
      </c>
      <c r="C726" s="267"/>
      <c r="D726" s="268">
        <f t="shared" si="149"/>
        <v>0</v>
      </c>
      <c r="E726" s="267"/>
      <c r="F726" s="267"/>
      <c r="G726" s="267"/>
      <c r="H726" s="267"/>
      <c r="I726" s="287"/>
      <c r="J726" s="288">
        <f t="shared" si="151"/>
        <v>0</v>
      </c>
      <c r="K726" s="276" t="s">
        <v>1087</v>
      </c>
      <c r="L726" s="33">
        <v>1</v>
      </c>
      <c r="M726" s="157" t="s">
        <v>2616</v>
      </c>
      <c r="N726" s="157"/>
      <c r="O726" s="157" t="s">
        <v>560</v>
      </c>
      <c r="P726" s="163" t="s">
        <v>2618</v>
      </c>
    </row>
    <row r="727" s="92" customFormat="1" ht="20.1" customHeight="1" spans="1:16">
      <c r="A727" s="157" t="s">
        <v>2619</v>
      </c>
      <c r="B727" s="36" t="s">
        <v>2620</v>
      </c>
      <c r="C727" s="267"/>
      <c r="D727" s="268">
        <f t="shared" si="149"/>
        <v>0</v>
      </c>
      <c r="E727" s="267"/>
      <c r="F727" s="267"/>
      <c r="G727" s="267"/>
      <c r="H727" s="267"/>
      <c r="I727" s="287"/>
      <c r="J727" s="288">
        <f t="shared" si="151"/>
        <v>0</v>
      </c>
      <c r="K727" s="276" t="s">
        <v>1087</v>
      </c>
      <c r="L727" s="33">
        <v>1</v>
      </c>
      <c r="M727" s="157" t="s">
        <v>2619</v>
      </c>
      <c r="N727" s="157"/>
      <c r="O727" s="157" t="s">
        <v>560</v>
      </c>
      <c r="P727" s="163" t="s">
        <v>2621</v>
      </c>
    </row>
    <row r="728" s="92" customFormat="1" ht="20.1" customHeight="1" spans="1:16">
      <c r="A728" s="157" t="s">
        <v>2622</v>
      </c>
      <c r="B728" s="36" t="s">
        <v>2623</v>
      </c>
      <c r="C728" s="267">
        <v>2978</v>
      </c>
      <c r="D728" s="268">
        <f t="shared" si="149"/>
        <v>690</v>
      </c>
      <c r="E728" s="267"/>
      <c r="F728" s="267"/>
      <c r="G728" s="267">
        <v>535</v>
      </c>
      <c r="H728" s="267"/>
      <c r="I728" s="287">
        <v>155</v>
      </c>
      <c r="J728" s="288">
        <f t="shared" si="151"/>
        <v>23.17</v>
      </c>
      <c r="K728" s="276" t="s">
        <v>1087</v>
      </c>
      <c r="L728" s="33">
        <v>1</v>
      </c>
      <c r="M728" s="157" t="s">
        <v>2622</v>
      </c>
      <c r="N728" s="157"/>
      <c r="O728" s="157" t="s">
        <v>560</v>
      </c>
      <c r="P728" s="163" t="s">
        <v>2624</v>
      </c>
    </row>
    <row r="729" s="92" customFormat="1" ht="20.1" customHeight="1" spans="1:16">
      <c r="A729" s="157" t="s">
        <v>2625</v>
      </c>
      <c r="B729" s="36" t="s">
        <v>2626</v>
      </c>
      <c r="C729" s="267">
        <v>134</v>
      </c>
      <c r="D729" s="268">
        <f t="shared" si="149"/>
        <v>289</v>
      </c>
      <c r="E729" s="267"/>
      <c r="F729" s="267"/>
      <c r="G729" s="267">
        <v>248</v>
      </c>
      <c r="H729" s="267"/>
      <c r="I729" s="287">
        <v>41</v>
      </c>
      <c r="J729" s="288">
        <f t="shared" si="151"/>
        <v>215.67</v>
      </c>
      <c r="K729" s="276" t="s">
        <v>1087</v>
      </c>
      <c r="L729" s="33">
        <v>1</v>
      </c>
      <c r="M729" s="157" t="s">
        <v>2625</v>
      </c>
      <c r="N729" s="157"/>
      <c r="O729" s="157" t="s">
        <v>560</v>
      </c>
      <c r="P729" s="163" t="s">
        <v>2627</v>
      </c>
    </row>
    <row r="730" s="92" customFormat="1" ht="20.1" customHeight="1" spans="1:16">
      <c r="A730" s="157" t="s">
        <v>2628</v>
      </c>
      <c r="B730" s="36" t="s">
        <v>2629</v>
      </c>
      <c r="C730" s="267">
        <v>88</v>
      </c>
      <c r="D730" s="268">
        <f t="shared" si="149"/>
        <v>0</v>
      </c>
      <c r="E730" s="267"/>
      <c r="F730" s="267"/>
      <c r="G730" s="267"/>
      <c r="H730" s="267"/>
      <c r="I730" s="287"/>
      <c r="J730" s="288">
        <f t="shared" si="151"/>
        <v>-100</v>
      </c>
      <c r="K730" s="276" t="s">
        <v>1087</v>
      </c>
      <c r="L730" s="33">
        <v>1</v>
      </c>
      <c r="M730" s="157" t="s">
        <v>2628</v>
      </c>
      <c r="N730" s="157"/>
      <c r="O730" s="157" t="s">
        <v>560</v>
      </c>
      <c r="P730" s="163" t="s">
        <v>2630</v>
      </c>
    </row>
    <row r="731" s="92" customFormat="1" ht="20.1" customHeight="1" spans="1:16">
      <c r="A731" s="157" t="s">
        <v>2631</v>
      </c>
      <c r="B731" s="36" t="s">
        <v>2632</v>
      </c>
      <c r="C731" s="267"/>
      <c r="D731" s="268">
        <f t="shared" si="149"/>
        <v>263</v>
      </c>
      <c r="E731" s="267">
        <v>101</v>
      </c>
      <c r="F731" s="267"/>
      <c r="G731" s="267">
        <v>162</v>
      </c>
      <c r="H731" s="267"/>
      <c r="I731" s="287"/>
      <c r="J731" s="288">
        <f t="shared" si="151"/>
        <v>100</v>
      </c>
      <c r="K731" s="276" t="s">
        <v>1087</v>
      </c>
      <c r="L731" s="33">
        <v>1</v>
      </c>
      <c r="M731" s="157" t="s">
        <v>2631</v>
      </c>
      <c r="N731" s="157"/>
      <c r="O731" s="157" t="s">
        <v>560</v>
      </c>
      <c r="P731" s="163" t="s">
        <v>2633</v>
      </c>
    </row>
    <row r="732" s="93" customFormat="1" ht="20.1" customHeight="1" spans="1:16">
      <c r="A732" s="263" t="s">
        <v>561</v>
      </c>
      <c r="B732" s="297" t="s">
        <v>325</v>
      </c>
      <c r="C732" s="265">
        <f t="shared" ref="C732:I732" si="154">SUM(C733:C735)</f>
        <v>3161</v>
      </c>
      <c r="D732" s="265">
        <f t="shared" si="149"/>
        <v>2707</v>
      </c>
      <c r="E732" s="265">
        <f t="shared" si="154"/>
        <v>695</v>
      </c>
      <c r="F732" s="265">
        <f t="shared" si="154"/>
        <v>0</v>
      </c>
      <c r="G732" s="265">
        <f t="shared" si="154"/>
        <v>152</v>
      </c>
      <c r="H732" s="265">
        <f t="shared" si="154"/>
        <v>0</v>
      </c>
      <c r="I732" s="265">
        <f t="shared" si="154"/>
        <v>1860</v>
      </c>
      <c r="J732" s="298">
        <f t="shared" si="151"/>
        <v>85.64</v>
      </c>
      <c r="K732" s="284" t="s">
        <v>1082</v>
      </c>
      <c r="L732" s="285"/>
      <c r="M732" s="263" t="s">
        <v>561</v>
      </c>
      <c r="N732" s="263" t="s">
        <v>556</v>
      </c>
      <c r="O732" s="263" t="s">
        <v>561</v>
      </c>
      <c r="P732" s="286" t="s">
        <v>2634</v>
      </c>
    </row>
    <row r="733" s="92" customFormat="1" ht="20.1" customHeight="1" spans="1:16">
      <c r="A733" s="157" t="s">
        <v>2635</v>
      </c>
      <c r="B733" s="36" t="s">
        <v>2636</v>
      </c>
      <c r="C733" s="267">
        <v>486</v>
      </c>
      <c r="D733" s="268">
        <f t="shared" si="149"/>
        <v>0</v>
      </c>
      <c r="E733" s="267"/>
      <c r="F733" s="267"/>
      <c r="G733" s="267"/>
      <c r="H733" s="267"/>
      <c r="I733" s="287"/>
      <c r="J733" s="288">
        <f t="shared" si="151"/>
        <v>-100</v>
      </c>
      <c r="K733" s="276" t="s">
        <v>1087</v>
      </c>
      <c r="L733" s="33">
        <v>1</v>
      </c>
      <c r="M733" s="157" t="s">
        <v>2635</v>
      </c>
      <c r="N733" s="157"/>
      <c r="O733" s="157" t="s">
        <v>561</v>
      </c>
      <c r="P733" s="163" t="s">
        <v>2637</v>
      </c>
    </row>
    <row r="734" s="92" customFormat="1" ht="20.1" customHeight="1" spans="1:16">
      <c r="A734" s="157" t="s">
        <v>2638</v>
      </c>
      <c r="B734" s="36" t="s">
        <v>2639</v>
      </c>
      <c r="C734" s="267">
        <v>1980</v>
      </c>
      <c r="D734" s="268">
        <f t="shared" si="149"/>
        <v>126</v>
      </c>
      <c r="E734" s="267"/>
      <c r="F734" s="267"/>
      <c r="G734" s="267">
        <v>88</v>
      </c>
      <c r="H734" s="267"/>
      <c r="I734" s="287">
        <v>38</v>
      </c>
      <c r="J734" s="288">
        <f t="shared" si="151"/>
        <v>6.36</v>
      </c>
      <c r="K734" s="276" t="s">
        <v>1087</v>
      </c>
      <c r="L734" s="33">
        <v>1</v>
      </c>
      <c r="M734" s="157" t="s">
        <v>2638</v>
      </c>
      <c r="N734" s="157"/>
      <c r="O734" s="157" t="s">
        <v>561</v>
      </c>
      <c r="P734" s="163" t="s">
        <v>2640</v>
      </c>
    </row>
    <row r="735" s="92" customFormat="1" ht="20.1" customHeight="1" spans="1:16">
      <c r="A735" s="157" t="s">
        <v>2641</v>
      </c>
      <c r="B735" s="36" t="s">
        <v>2642</v>
      </c>
      <c r="C735" s="267">
        <v>695</v>
      </c>
      <c r="D735" s="268">
        <f t="shared" si="149"/>
        <v>2581</v>
      </c>
      <c r="E735" s="267">
        <v>695</v>
      </c>
      <c r="F735" s="267"/>
      <c r="G735" s="267">
        <v>64</v>
      </c>
      <c r="H735" s="267"/>
      <c r="I735" s="287">
        <v>1822</v>
      </c>
      <c r="J735" s="288">
        <f t="shared" si="151"/>
        <v>371.37</v>
      </c>
      <c r="K735" s="276" t="s">
        <v>1087</v>
      </c>
      <c r="L735" s="33">
        <v>1</v>
      </c>
      <c r="M735" s="157" t="s">
        <v>2641</v>
      </c>
      <c r="N735" s="157"/>
      <c r="O735" s="157" t="s">
        <v>561</v>
      </c>
      <c r="P735" s="163" t="s">
        <v>2643</v>
      </c>
    </row>
    <row r="736" s="93" customFormat="1" ht="20.1" customHeight="1" spans="1:16">
      <c r="A736" s="263" t="s">
        <v>562</v>
      </c>
      <c r="B736" s="297" t="s">
        <v>326</v>
      </c>
      <c r="C736" s="265">
        <f t="shared" ref="C736:I736" si="155">SUM(C737:C740)</f>
        <v>4835</v>
      </c>
      <c r="D736" s="265">
        <f t="shared" si="149"/>
        <v>3774</v>
      </c>
      <c r="E736" s="265">
        <f t="shared" si="155"/>
        <v>0</v>
      </c>
      <c r="F736" s="265">
        <f t="shared" si="155"/>
        <v>0</v>
      </c>
      <c r="G736" s="265">
        <f t="shared" si="155"/>
        <v>0</v>
      </c>
      <c r="H736" s="265">
        <f t="shared" si="155"/>
        <v>0</v>
      </c>
      <c r="I736" s="265">
        <f t="shared" si="155"/>
        <v>3774</v>
      </c>
      <c r="J736" s="298">
        <f t="shared" si="151"/>
        <v>78.06</v>
      </c>
      <c r="K736" s="284" t="s">
        <v>1082</v>
      </c>
      <c r="L736" s="285"/>
      <c r="M736" s="263" t="s">
        <v>562</v>
      </c>
      <c r="N736" s="263" t="s">
        <v>556</v>
      </c>
      <c r="O736" s="263" t="s">
        <v>562</v>
      </c>
      <c r="P736" s="286" t="s">
        <v>2644</v>
      </c>
    </row>
    <row r="737" s="92" customFormat="1" ht="20.1" customHeight="1" spans="1:16">
      <c r="A737" s="157" t="s">
        <v>2645</v>
      </c>
      <c r="B737" s="36" t="s">
        <v>2646</v>
      </c>
      <c r="C737" s="267">
        <v>1394</v>
      </c>
      <c r="D737" s="268">
        <f t="shared" si="149"/>
        <v>1457</v>
      </c>
      <c r="E737" s="267"/>
      <c r="F737" s="267"/>
      <c r="G737" s="267"/>
      <c r="H737" s="267"/>
      <c r="I737" s="287">
        <v>1457</v>
      </c>
      <c r="J737" s="288">
        <f t="shared" si="151"/>
        <v>104.52</v>
      </c>
      <c r="K737" s="276" t="s">
        <v>1087</v>
      </c>
      <c r="L737" s="33">
        <v>1</v>
      </c>
      <c r="M737" s="157" t="s">
        <v>2645</v>
      </c>
      <c r="N737" s="157"/>
      <c r="O737" s="157" t="s">
        <v>562</v>
      </c>
      <c r="P737" s="163" t="s">
        <v>2647</v>
      </c>
    </row>
    <row r="738" s="92" customFormat="1" ht="20.1" customHeight="1" spans="1:16">
      <c r="A738" s="157" t="s">
        <v>2648</v>
      </c>
      <c r="B738" s="36" t="s">
        <v>2649</v>
      </c>
      <c r="C738" s="267">
        <v>2763</v>
      </c>
      <c r="D738" s="268">
        <f t="shared" si="149"/>
        <v>899</v>
      </c>
      <c r="E738" s="267"/>
      <c r="F738" s="267"/>
      <c r="G738" s="267"/>
      <c r="H738" s="267"/>
      <c r="I738" s="287">
        <v>899</v>
      </c>
      <c r="J738" s="288">
        <f t="shared" si="151"/>
        <v>32.54</v>
      </c>
      <c r="K738" s="276" t="s">
        <v>1087</v>
      </c>
      <c r="L738" s="33">
        <v>1</v>
      </c>
      <c r="M738" s="157" t="s">
        <v>2648</v>
      </c>
      <c r="N738" s="157"/>
      <c r="O738" s="157" t="s">
        <v>562</v>
      </c>
      <c r="P738" s="163" t="s">
        <v>2650</v>
      </c>
    </row>
    <row r="739" s="92" customFormat="1" ht="20.1" customHeight="1" spans="1:16">
      <c r="A739" s="157" t="s">
        <v>2651</v>
      </c>
      <c r="B739" s="36" t="s">
        <v>2652</v>
      </c>
      <c r="C739" s="267">
        <v>636</v>
      </c>
      <c r="D739" s="268">
        <f t="shared" si="149"/>
        <v>1409</v>
      </c>
      <c r="E739" s="267"/>
      <c r="F739" s="267"/>
      <c r="G739" s="267"/>
      <c r="H739" s="267"/>
      <c r="I739" s="287">
        <v>1409</v>
      </c>
      <c r="J739" s="288">
        <f t="shared" si="151"/>
        <v>221.54</v>
      </c>
      <c r="K739" s="276" t="s">
        <v>1087</v>
      </c>
      <c r="L739" s="33">
        <v>1</v>
      </c>
      <c r="M739" s="157" t="s">
        <v>2651</v>
      </c>
      <c r="N739" s="157"/>
      <c r="O739" s="157" t="s">
        <v>562</v>
      </c>
      <c r="P739" s="163" t="s">
        <v>2653</v>
      </c>
    </row>
    <row r="740" s="92" customFormat="1" ht="20.1" customHeight="1" spans="1:16">
      <c r="A740" s="157" t="s">
        <v>2654</v>
      </c>
      <c r="B740" s="36" t="s">
        <v>2655</v>
      </c>
      <c r="C740" s="267">
        <v>42</v>
      </c>
      <c r="D740" s="268">
        <f t="shared" si="149"/>
        <v>9</v>
      </c>
      <c r="E740" s="267"/>
      <c r="F740" s="267"/>
      <c r="G740" s="267"/>
      <c r="H740" s="267"/>
      <c r="I740" s="287">
        <v>9</v>
      </c>
      <c r="J740" s="288">
        <f t="shared" si="151"/>
        <v>21.43</v>
      </c>
      <c r="K740" s="276" t="s">
        <v>1087</v>
      </c>
      <c r="L740" s="33">
        <v>1</v>
      </c>
      <c r="M740" s="157" t="s">
        <v>2654</v>
      </c>
      <c r="N740" s="157"/>
      <c r="O740" s="157" t="s">
        <v>562</v>
      </c>
      <c r="P740" s="163" t="s">
        <v>2656</v>
      </c>
    </row>
    <row r="741" s="93" customFormat="1" ht="20.1" customHeight="1" spans="1:16">
      <c r="A741" s="263" t="s">
        <v>563</v>
      </c>
      <c r="B741" s="297" t="s">
        <v>327</v>
      </c>
      <c r="C741" s="265">
        <f t="shared" ref="C741:I741" si="156">SUM(C742:C744)</f>
        <v>1080</v>
      </c>
      <c r="D741" s="265">
        <f t="shared" si="149"/>
        <v>50</v>
      </c>
      <c r="E741" s="265">
        <f t="shared" si="156"/>
        <v>0</v>
      </c>
      <c r="F741" s="265">
        <f t="shared" si="156"/>
        <v>0</v>
      </c>
      <c r="G741" s="265">
        <f t="shared" si="156"/>
        <v>0</v>
      </c>
      <c r="H741" s="265">
        <f t="shared" si="156"/>
        <v>0</v>
      </c>
      <c r="I741" s="265">
        <f t="shared" si="156"/>
        <v>50</v>
      </c>
      <c r="J741" s="298">
        <f t="shared" si="151"/>
        <v>4.63</v>
      </c>
      <c r="K741" s="284" t="s">
        <v>1082</v>
      </c>
      <c r="L741" s="285"/>
      <c r="M741" s="263" t="s">
        <v>563</v>
      </c>
      <c r="N741" s="263" t="s">
        <v>556</v>
      </c>
      <c r="O741" s="263" t="s">
        <v>563</v>
      </c>
      <c r="P741" s="286" t="s">
        <v>2657</v>
      </c>
    </row>
    <row r="742" s="92" customFormat="1" ht="20.1" customHeight="1" spans="1:16">
      <c r="A742" s="157" t="s">
        <v>2658</v>
      </c>
      <c r="B742" s="36" t="s">
        <v>2659</v>
      </c>
      <c r="C742" s="267"/>
      <c r="D742" s="268">
        <f t="shared" si="149"/>
        <v>0</v>
      </c>
      <c r="E742" s="267"/>
      <c r="F742" s="267"/>
      <c r="G742" s="267"/>
      <c r="H742" s="267"/>
      <c r="I742" s="287"/>
      <c r="J742" s="288">
        <f t="shared" si="151"/>
        <v>0</v>
      </c>
      <c r="K742" s="276" t="s">
        <v>1087</v>
      </c>
      <c r="L742" s="33">
        <v>1</v>
      </c>
      <c r="M742" s="157" t="s">
        <v>2658</v>
      </c>
      <c r="N742" s="157"/>
      <c r="O742" s="157" t="s">
        <v>563</v>
      </c>
      <c r="P742" s="163" t="s">
        <v>2660</v>
      </c>
    </row>
    <row r="743" s="92" customFormat="1" ht="20.1" customHeight="1" spans="1:16">
      <c r="A743" s="157" t="s">
        <v>2661</v>
      </c>
      <c r="B743" s="36" t="s">
        <v>2662</v>
      </c>
      <c r="C743" s="267">
        <v>1080</v>
      </c>
      <c r="D743" s="268">
        <f t="shared" si="149"/>
        <v>0</v>
      </c>
      <c r="E743" s="267"/>
      <c r="F743" s="267"/>
      <c r="G743" s="267"/>
      <c r="H743" s="267"/>
      <c r="I743" s="287"/>
      <c r="J743" s="288">
        <f t="shared" si="151"/>
        <v>-100</v>
      </c>
      <c r="K743" s="276" t="s">
        <v>1087</v>
      </c>
      <c r="L743" s="33">
        <v>1</v>
      </c>
      <c r="M743" s="157" t="s">
        <v>2661</v>
      </c>
      <c r="N743" s="157"/>
      <c r="O743" s="157" t="s">
        <v>563</v>
      </c>
      <c r="P743" s="163" t="s">
        <v>2663</v>
      </c>
    </row>
    <row r="744" s="92" customFormat="1" ht="20.1" customHeight="1" spans="1:16">
      <c r="A744" s="157" t="s">
        <v>2664</v>
      </c>
      <c r="B744" s="36" t="s">
        <v>2665</v>
      </c>
      <c r="C744" s="267"/>
      <c r="D744" s="268">
        <f t="shared" si="149"/>
        <v>50</v>
      </c>
      <c r="E744" s="267"/>
      <c r="F744" s="267"/>
      <c r="G744" s="267"/>
      <c r="H744" s="267"/>
      <c r="I744" s="287">
        <v>50</v>
      </c>
      <c r="J744" s="288">
        <f t="shared" si="151"/>
        <v>100</v>
      </c>
      <c r="K744" s="276" t="s">
        <v>1087</v>
      </c>
      <c r="L744" s="33">
        <v>1</v>
      </c>
      <c r="M744" s="157" t="s">
        <v>2664</v>
      </c>
      <c r="N744" s="157"/>
      <c r="O744" s="157" t="s">
        <v>563</v>
      </c>
      <c r="P744" s="163" t="s">
        <v>2666</v>
      </c>
    </row>
    <row r="745" s="93" customFormat="1" ht="20.1" customHeight="1" spans="1:16">
      <c r="A745" s="263" t="s">
        <v>564</v>
      </c>
      <c r="B745" s="297" t="s">
        <v>328</v>
      </c>
      <c r="C745" s="265">
        <f t="shared" ref="C745:I745" si="157">SUM(C746:C748)</f>
        <v>3376</v>
      </c>
      <c r="D745" s="265">
        <f t="shared" si="149"/>
        <v>2591</v>
      </c>
      <c r="E745" s="265">
        <f t="shared" si="157"/>
        <v>2387</v>
      </c>
      <c r="F745" s="265">
        <f t="shared" si="157"/>
        <v>0</v>
      </c>
      <c r="G745" s="265">
        <f t="shared" si="157"/>
        <v>0</v>
      </c>
      <c r="H745" s="265">
        <f t="shared" si="157"/>
        <v>0</v>
      </c>
      <c r="I745" s="265">
        <f t="shared" si="157"/>
        <v>204</v>
      </c>
      <c r="J745" s="298">
        <f t="shared" si="151"/>
        <v>76.75</v>
      </c>
      <c r="K745" s="284" t="s">
        <v>1082</v>
      </c>
      <c r="L745" s="285"/>
      <c r="M745" s="263" t="s">
        <v>564</v>
      </c>
      <c r="N745" s="263" t="s">
        <v>556</v>
      </c>
      <c r="O745" s="263" t="s">
        <v>564</v>
      </c>
      <c r="P745" s="286" t="s">
        <v>2667</v>
      </c>
    </row>
    <row r="746" s="92" customFormat="1" ht="20.1" customHeight="1" spans="1:16">
      <c r="A746" s="157" t="s">
        <v>2668</v>
      </c>
      <c r="B746" s="36" t="s">
        <v>2669</v>
      </c>
      <c r="C746" s="267">
        <v>3376</v>
      </c>
      <c r="D746" s="268">
        <f t="shared" si="149"/>
        <v>2591</v>
      </c>
      <c r="E746" s="267">
        <v>2387</v>
      </c>
      <c r="F746" s="267"/>
      <c r="G746" s="267"/>
      <c r="H746" s="267"/>
      <c r="I746" s="287">
        <v>204</v>
      </c>
      <c r="J746" s="288">
        <f t="shared" si="151"/>
        <v>76.75</v>
      </c>
      <c r="K746" s="276" t="s">
        <v>1087</v>
      </c>
      <c r="L746" s="33">
        <v>1</v>
      </c>
      <c r="M746" s="157" t="s">
        <v>2668</v>
      </c>
      <c r="N746" s="157"/>
      <c r="O746" s="157" t="s">
        <v>564</v>
      </c>
      <c r="P746" s="163" t="s">
        <v>2670</v>
      </c>
    </row>
    <row r="747" s="92" customFormat="1" ht="20.1" customHeight="1" spans="1:16">
      <c r="A747" s="157" t="s">
        <v>2671</v>
      </c>
      <c r="B747" s="36" t="s">
        <v>2672</v>
      </c>
      <c r="C747" s="267"/>
      <c r="D747" s="268">
        <f t="shared" si="149"/>
        <v>0</v>
      </c>
      <c r="E747" s="267"/>
      <c r="F747" s="267"/>
      <c r="G747" s="267"/>
      <c r="H747" s="267"/>
      <c r="I747" s="287"/>
      <c r="J747" s="288">
        <f t="shared" si="151"/>
        <v>0</v>
      </c>
      <c r="K747" s="276" t="s">
        <v>1087</v>
      </c>
      <c r="L747" s="33">
        <v>1</v>
      </c>
      <c r="M747" s="157" t="s">
        <v>2671</v>
      </c>
      <c r="N747" s="157"/>
      <c r="O747" s="157" t="s">
        <v>564</v>
      </c>
      <c r="P747" s="163" t="s">
        <v>2673</v>
      </c>
    </row>
    <row r="748" s="92" customFormat="1" ht="20.1" customHeight="1" spans="1:16">
      <c r="A748" s="157" t="s">
        <v>2674</v>
      </c>
      <c r="B748" s="36" t="s">
        <v>2675</v>
      </c>
      <c r="C748" s="267"/>
      <c r="D748" s="268">
        <f t="shared" si="149"/>
        <v>0</v>
      </c>
      <c r="E748" s="267"/>
      <c r="F748" s="267"/>
      <c r="G748" s="267"/>
      <c r="H748" s="267"/>
      <c r="I748" s="287"/>
      <c r="J748" s="288">
        <f t="shared" si="151"/>
        <v>0</v>
      </c>
      <c r="K748" s="276" t="s">
        <v>1087</v>
      </c>
      <c r="L748" s="33">
        <v>1</v>
      </c>
      <c r="M748" s="157" t="s">
        <v>2674</v>
      </c>
      <c r="N748" s="157"/>
      <c r="O748" s="157" t="s">
        <v>564</v>
      </c>
      <c r="P748" s="163" t="s">
        <v>2676</v>
      </c>
    </row>
    <row r="749" s="93" customFormat="1" ht="20.1" customHeight="1" spans="1:16">
      <c r="A749" s="263" t="s">
        <v>565</v>
      </c>
      <c r="B749" s="297" t="s">
        <v>329</v>
      </c>
      <c r="C749" s="265">
        <f t="shared" ref="C749:I749" si="158">SUM(C750:C751)</f>
        <v>68</v>
      </c>
      <c r="D749" s="265">
        <f t="shared" si="149"/>
        <v>8</v>
      </c>
      <c r="E749" s="265">
        <f t="shared" si="158"/>
        <v>8</v>
      </c>
      <c r="F749" s="265">
        <f t="shared" si="158"/>
        <v>0</v>
      </c>
      <c r="G749" s="265">
        <f t="shared" si="158"/>
        <v>0</v>
      </c>
      <c r="H749" s="265">
        <f t="shared" si="158"/>
        <v>0</v>
      </c>
      <c r="I749" s="265">
        <f t="shared" si="158"/>
        <v>0</v>
      </c>
      <c r="J749" s="298">
        <f t="shared" si="151"/>
        <v>11.76</v>
      </c>
      <c r="K749" s="284" t="s">
        <v>1082</v>
      </c>
      <c r="L749" s="285"/>
      <c r="M749" s="263" t="s">
        <v>565</v>
      </c>
      <c r="N749" s="263" t="s">
        <v>556</v>
      </c>
      <c r="O749" s="263" t="s">
        <v>565</v>
      </c>
      <c r="P749" s="286" t="s">
        <v>2677</v>
      </c>
    </row>
    <row r="750" s="92" customFormat="1" ht="20.1" customHeight="1" spans="1:16">
      <c r="A750" s="157" t="s">
        <v>2678</v>
      </c>
      <c r="B750" s="36" t="s">
        <v>2679</v>
      </c>
      <c r="C750" s="267">
        <v>68</v>
      </c>
      <c r="D750" s="268">
        <f t="shared" si="149"/>
        <v>8</v>
      </c>
      <c r="E750" s="267">
        <v>8</v>
      </c>
      <c r="F750" s="267"/>
      <c r="G750" s="267"/>
      <c r="H750" s="267"/>
      <c r="I750" s="287"/>
      <c r="J750" s="288">
        <f t="shared" si="151"/>
        <v>11.76</v>
      </c>
      <c r="K750" s="276" t="s">
        <v>1087</v>
      </c>
      <c r="L750" s="33">
        <v>1</v>
      </c>
      <c r="M750" s="157" t="s">
        <v>2678</v>
      </c>
      <c r="N750" s="157"/>
      <c r="O750" s="157" t="s">
        <v>565</v>
      </c>
      <c r="P750" s="163" t="s">
        <v>2680</v>
      </c>
    </row>
    <row r="751" s="92" customFormat="1" ht="20.1" customHeight="1" spans="1:16">
      <c r="A751" s="157" t="s">
        <v>2681</v>
      </c>
      <c r="B751" s="36" t="s">
        <v>2682</v>
      </c>
      <c r="C751" s="267">
        <v>0</v>
      </c>
      <c r="D751" s="268">
        <f t="shared" si="149"/>
        <v>0</v>
      </c>
      <c r="E751" s="267"/>
      <c r="F751" s="267"/>
      <c r="G751" s="267"/>
      <c r="H751" s="267"/>
      <c r="I751" s="287"/>
      <c r="J751" s="288">
        <f t="shared" si="151"/>
        <v>0</v>
      </c>
      <c r="K751" s="276" t="s">
        <v>1087</v>
      </c>
      <c r="L751" s="33">
        <v>1</v>
      </c>
      <c r="M751" s="157" t="s">
        <v>2681</v>
      </c>
      <c r="N751" s="157"/>
      <c r="O751" s="157" t="s">
        <v>565</v>
      </c>
      <c r="P751" s="163" t="s">
        <v>2683</v>
      </c>
    </row>
    <row r="752" s="93" customFormat="1" ht="20.1" customHeight="1" spans="1:16">
      <c r="A752" s="263" t="s">
        <v>566</v>
      </c>
      <c r="B752" s="297" t="s">
        <v>330</v>
      </c>
      <c r="C752" s="265">
        <f t="shared" ref="C752:I752" si="159">SUM(C753:C760)</f>
        <v>398</v>
      </c>
      <c r="D752" s="265">
        <f t="shared" si="149"/>
        <v>602</v>
      </c>
      <c r="E752" s="265">
        <f t="shared" si="159"/>
        <v>70</v>
      </c>
      <c r="F752" s="265">
        <f t="shared" si="159"/>
        <v>0</v>
      </c>
      <c r="G752" s="265">
        <f t="shared" si="159"/>
        <v>91</v>
      </c>
      <c r="H752" s="265">
        <f t="shared" si="159"/>
        <v>0</v>
      </c>
      <c r="I752" s="265">
        <f t="shared" si="159"/>
        <v>441</v>
      </c>
      <c r="J752" s="298">
        <f t="shared" si="151"/>
        <v>151.26</v>
      </c>
      <c r="K752" s="284" t="s">
        <v>1082</v>
      </c>
      <c r="L752" s="285"/>
      <c r="M752" s="263" t="s">
        <v>566</v>
      </c>
      <c r="N752" s="263" t="s">
        <v>556</v>
      </c>
      <c r="O752" s="263" t="s">
        <v>566</v>
      </c>
      <c r="P752" s="286" t="s">
        <v>2684</v>
      </c>
    </row>
    <row r="753" s="92" customFormat="1" ht="20.1" customHeight="1" spans="1:16">
      <c r="A753" s="157" t="s">
        <v>2685</v>
      </c>
      <c r="B753" s="36" t="s">
        <v>1086</v>
      </c>
      <c r="C753" s="267">
        <v>83</v>
      </c>
      <c r="D753" s="268">
        <f t="shared" si="149"/>
        <v>97</v>
      </c>
      <c r="E753" s="267"/>
      <c r="F753" s="267"/>
      <c r="G753" s="267"/>
      <c r="H753" s="267"/>
      <c r="I753" s="287">
        <v>97</v>
      </c>
      <c r="J753" s="288">
        <f t="shared" si="151"/>
        <v>116.87</v>
      </c>
      <c r="K753" s="276" t="s">
        <v>1087</v>
      </c>
      <c r="L753" s="33">
        <v>1</v>
      </c>
      <c r="M753" s="157" t="s">
        <v>2685</v>
      </c>
      <c r="N753" s="157"/>
      <c r="O753" s="157" t="s">
        <v>566</v>
      </c>
      <c r="P753" s="164" t="s">
        <v>1088</v>
      </c>
    </row>
    <row r="754" s="92" customFormat="1" ht="20.1" customHeight="1" spans="1:16">
      <c r="A754" s="157" t="s">
        <v>2686</v>
      </c>
      <c r="B754" s="36" t="s">
        <v>1090</v>
      </c>
      <c r="C754" s="267"/>
      <c r="D754" s="268">
        <f t="shared" si="149"/>
        <v>0</v>
      </c>
      <c r="E754" s="267"/>
      <c r="F754" s="267"/>
      <c r="G754" s="267"/>
      <c r="H754" s="267"/>
      <c r="I754" s="287"/>
      <c r="J754" s="288">
        <f t="shared" si="151"/>
        <v>0</v>
      </c>
      <c r="K754" s="276" t="s">
        <v>1087</v>
      </c>
      <c r="L754" s="33">
        <v>1</v>
      </c>
      <c r="M754" s="157" t="s">
        <v>2686</v>
      </c>
      <c r="N754" s="157"/>
      <c r="O754" s="157" t="s">
        <v>566</v>
      </c>
      <c r="P754" s="164" t="s">
        <v>1091</v>
      </c>
    </row>
    <row r="755" s="92" customFormat="1" ht="20.1" customHeight="1" spans="1:16">
      <c r="A755" s="157" t="s">
        <v>2687</v>
      </c>
      <c r="B755" s="36" t="s">
        <v>1093</v>
      </c>
      <c r="C755" s="267"/>
      <c r="D755" s="268">
        <f t="shared" si="149"/>
        <v>0</v>
      </c>
      <c r="E755" s="267"/>
      <c r="F755" s="267"/>
      <c r="G755" s="267"/>
      <c r="H755" s="267"/>
      <c r="I755" s="287"/>
      <c r="J755" s="288">
        <f t="shared" si="151"/>
        <v>0</v>
      </c>
      <c r="K755" s="276" t="s">
        <v>1087</v>
      </c>
      <c r="L755" s="33">
        <v>1</v>
      </c>
      <c r="M755" s="157" t="s">
        <v>2687</v>
      </c>
      <c r="N755" s="157"/>
      <c r="O755" s="157" t="s">
        <v>566</v>
      </c>
      <c r="P755" s="164" t="s">
        <v>1094</v>
      </c>
    </row>
    <row r="756" s="92" customFormat="1" ht="20.1" customHeight="1" spans="1:16">
      <c r="A756" s="157" t="s">
        <v>2688</v>
      </c>
      <c r="B756" s="36" t="s">
        <v>1217</v>
      </c>
      <c r="C756" s="267"/>
      <c r="D756" s="268">
        <f t="shared" si="149"/>
        <v>0</v>
      </c>
      <c r="E756" s="267"/>
      <c r="F756" s="267"/>
      <c r="G756" s="267"/>
      <c r="H756" s="267"/>
      <c r="I756" s="287"/>
      <c r="J756" s="288">
        <f t="shared" si="151"/>
        <v>0</v>
      </c>
      <c r="K756" s="276" t="s">
        <v>1087</v>
      </c>
      <c r="L756" s="33">
        <v>1</v>
      </c>
      <c r="M756" s="157" t="s">
        <v>2688</v>
      </c>
      <c r="N756" s="157"/>
      <c r="O756" s="157" t="s">
        <v>566</v>
      </c>
      <c r="P756" s="164" t="s">
        <v>1218</v>
      </c>
    </row>
    <row r="757" s="92" customFormat="1" ht="20.1" customHeight="1" spans="1:16">
      <c r="A757" s="157" t="s">
        <v>2689</v>
      </c>
      <c r="B757" s="36" t="s">
        <v>2690</v>
      </c>
      <c r="C757" s="267"/>
      <c r="D757" s="268">
        <f t="shared" si="149"/>
        <v>0</v>
      </c>
      <c r="E757" s="267"/>
      <c r="F757" s="267"/>
      <c r="G757" s="267"/>
      <c r="H757" s="267"/>
      <c r="I757" s="287"/>
      <c r="J757" s="288">
        <f t="shared" si="151"/>
        <v>0</v>
      </c>
      <c r="K757" s="276" t="s">
        <v>1087</v>
      </c>
      <c r="L757" s="33">
        <v>1</v>
      </c>
      <c r="M757" s="157" t="s">
        <v>2689</v>
      </c>
      <c r="N757" s="157"/>
      <c r="O757" s="157" t="s">
        <v>566</v>
      </c>
      <c r="P757" s="164" t="s">
        <v>2691</v>
      </c>
    </row>
    <row r="758" s="92" customFormat="1" ht="20.1" customHeight="1" spans="1:16">
      <c r="A758" s="157" t="s">
        <v>2692</v>
      </c>
      <c r="B758" s="36" t="s">
        <v>2693</v>
      </c>
      <c r="C758" s="267">
        <v>16</v>
      </c>
      <c r="D758" s="268">
        <f t="shared" si="149"/>
        <v>162</v>
      </c>
      <c r="E758" s="267">
        <v>70</v>
      </c>
      <c r="F758" s="267"/>
      <c r="G758" s="267">
        <v>91</v>
      </c>
      <c r="H758" s="267"/>
      <c r="I758" s="287">
        <v>1</v>
      </c>
      <c r="J758" s="288">
        <f t="shared" si="151"/>
        <v>1012.5</v>
      </c>
      <c r="K758" s="276" t="s">
        <v>1087</v>
      </c>
      <c r="L758" s="33">
        <v>1</v>
      </c>
      <c r="M758" s="157" t="s">
        <v>2692</v>
      </c>
      <c r="N758" s="157"/>
      <c r="O758" s="157" t="s">
        <v>566</v>
      </c>
      <c r="P758" s="164" t="s">
        <v>2694</v>
      </c>
    </row>
    <row r="759" s="92" customFormat="1" ht="20.1" customHeight="1" spans="1:16">
      <c r="A759" s="157" t="s">
        <v>2695</v>
      </c>
      <c r="B759" s="36" t="s">
        <v>1114</v>
      </c>
      <c r="C759" s="267">
        <v>299</v>
      </c>
      <c r="D759" s="268">
        <f t="shared" si="149"/>
        <v>343</v>
      </c>
      <c r="E759" s="267"/>
      <c r="F759" s="267"/>
      <c r="G759" s="267"/>
      <c r="H759" s="267"/>
      <c r="I759" s="287">
        <v>343</v>
      </c>
      <c r="J759" s="288">
        <f t="shared" si="151"/>
        <v>114.72</v>
      </c>
      <c r="K759" s="276" t="s">
        <v>1087</v>
      </c>
      <c r="L759" s="33">
        <v>1</v>
      </c>
      <c r="M759" s="157" t="s">
        <v>2695</v>
      </c>
      <c r="N759" s="157"/>
      <c r="O759" s="157" t="s">
        <v>566</v>
      </c>
      <c r="P759" s="164" t="s">
        <v>1115</v>
      </c>
    </row>
    <row r="760" s="92" customFormat="1" ht="20.1" customHeight="1" spans="1:16">
      <c r="A760" s="157" t="s">
        <v>2696</v>
      </c>
      <c r="B760" s="36" t="s">
        <v>2697</v>
      </c>
      <c r="C760" s="267"/>
      <c r="D760" s="268">
        <f t="shared" si="149"/>
        <v>0</v>
      </c>
      <c r="E760" s="267"/>
      <c r="F760" s="267"/>
      <c r="G760" s="267"/>
      <c r="H760" s="267"/>
      <c r="I760" s="287"/>
      <c r="J760" s="288">
        <f t="shared" si="151"/>
        <v>0</v>
      </c>
      <c r="K760" s="276" t="s">
        <v>1087</v>
      </c>
      <c r="L760" s="33">
        <v>1</v>
      </c>
      <c r="M760" s="157" t="s">
        <v>2696</v>
      </c>
      <c r="N760" s="157"/>
      <c r="O760" s="157" t="s">
        <v>566</v>
      </c>
      <c r="P760" s="164" t="s">
        <v>2698</v>
      </c>
    </row>
    <row r="761" s="93" customFormat="1" ht="20.1" customHeight="1" spans="1:16">
      <c r="A761" s="263" t="s">
        <v>568</v>
      </c>
      <c r="B761" s="297" t="s">
        <v>2699</v>
      </c>
      <c r="C761" s="265">
        <f t="shared" ref="C761:I761" si="160">SUM(C762:C767)</f>
        <v>126</v>
      </c>
      <c r="D761" s="265">
        <f t="shared" ref="D761:D824" si="161">SUM(E761:I761)</f>
        <v>178</v>
      </c>
      <c r="E761" s="265">
        <f t="shared" si="160"/>
        <v>150</v>
      </c>
      <c r="F761" s="265">
        <f t="shared" si="160"/>
        <v>0</v>
      </c>
      <c r="G761" s="265">
        <f t="shared" si="160"/>
        <v>28</v>
      </c>
      <c r="H761" s="265">
        <f t="shared" si="160"/>
        <v>0</v>
      </c>
      <c r="I761" s="265">
        <f t="shared" si="160"/>
        <v>0</v>
      </c>
      <c r="J761" s="298">
        <f t="shared" si="151"/>
        <v>141.27</v>
      </c>
      <c r="K761" s="284" t="s">
        <v>1082</v>
      </c>
      <c r="L761" s="285"/>
      <c r="M761" s="263" t="s">
        <v>568</v>
      </c>
      <c r="N761" s="263" t="s">
        <v>556</v>
      </c>
      <c r="O761" s="263" t="s">
        <v>568</v>
      </c>
      <c r="P761" s="286" t="s">
        <v>2700</v>
      </c>
    </row>
    <row r="762" s="92" customFormat="1" ht="20.1" customHeight="1" spans="1:16">
      <c r="A762" s="157" t="s">
        <v>2701</v>
      </c>
      <c r="B762" s="36" t="s">
        <v>1086</v>
      </c>
      <c r="C762" s="267"/>
      <c r="D762" s="268">
        <f t="shared" si="161"/>
        <v>0</v>
      </c>
      <c r="E762" s="267"/>
      <c r="F762" s="267"/>
      <c r="G762" s="267"/>
      <c r="H762" s="267"/>
      <c r="I762" s="287"/>
      <c r="J762" s="288">
        <f t="shared" si="151"/>
        <v>0</v>
      </c>
      <c r="K762" s="276" t="s">
        <v>1087</v>
      </c>
      <c r="L762" s="33">
        <v>1</v>
      </c>
      <c r="M762" s="157" t="s">
        <v>2701</v>
      </c>
      <c r="N762" s="157"/>
      <c r="O762" s="157" t="s">
        <v>568</v>
      </c>
      <c r="P762" s="36" t="s">
        <v>1088</v>
      </c>
    </row>
    <row r="763" s="92" customFormat="1" ht="20.1" customHeight="1" spans="1:16">
      <c r="A763" s="157" t="s">
        <v>2702</v>
      </c>
      <c r="B763" s="36" t="s">
        <v>1090</v>
      </c>
      <c r="C763" s="267"/>
      <c r="D763" s="268">
        <f t="shared" si="161"/>
        <v>0</v>
      </c>
      <c r="E763" s="267"/>
      <c r="F763" s="267"/>
      <c r="G763" s="267"/>
      <c r="H763" s="267"/>
      <c r="I763" s="287"/>
      <c r="J763" s="288"/>
      <c r="K763" s="276" t="s">
        <v>1087</v>
      </c>
      <c r="L763" s="33">
        <v>1</v>
      </c>
      <c r="M763" s="157" t="s">
        <v>2702</v>
      </c>
      <c r="N763" s="157"/>
      <c r="O763" s="157" t="s">
        <v>568</v>
      </c>
      <c r="P763" s="36" t="s">
        <v>1091</v>
      </c>
    </row>
    <row r="764" s="92" customFormat="1" ht="20.1" customHeight="1" spans="1:16">
      <c r="A764" s="157" t="s">
        <v>2703</v>
      </c>
      <c r="B764" s="36" t="s">
        <v>1093</v>
      </c>
      <c r="C764" s="267"/>
      <c r="D764" s="268">
        <f t="shared" si="161"/>
        <v>0</v>
      </c>
      <c r="E764" s="267"/>
      <c r="F764" s="267"/>
      <c r="G764" s="267"/>
      <c r="H764" s="267"/>
      <c r="I764" s="287"/>
      <c r="J764" s="288"/>
      <c r="K764" s="276" t="s">
        <v>1087</v>
      </c>
      <c r="L764" s="33">
        <v>1</v>
      </c>
      <c r="M764" s="157" t="s">
        <v>2703</v>
      </c>
      <c r="N764" s="157"/>
      <c r="O764" s="157" t="s">
        <v>568</v>
      </c>
      <c r="P764" s="36" t="s">
        <v>1094</v>
      </c>
    </row>
    <row r="765" s="92" customFormat="1" ht="20.1" customHeight="1" spans="1:16">
      <c r="A765" s="157" t="s">
        <v>2704</v>
      </c>
      <c r="B765" s="36" t="s">
        <v>2705</v>
      </c>
      <c r="C765" s="267">
        <v>126</v>
      </c>
      <c r="D765" s="268">
        <f t="shared" si="161"/>
        <v>178</v>
      </c>
      <c r="E765" s="267">
        <v>150</v>
      </c>
      <c r="F765" s="267"/>
      <c r="G765" s="267">
        <v>28</v>
      </c>
      <c r="H765" s="267"/>
      <c r="I765" s="287"/>
      <c r="J765" s="288"/>
      <c r="K765" s="276" t="s">
        <v>1087</v>
      </c>
      <c r="L765" s="33">
        <v>1</v>
      </c>
      <c r="M765" s="157" t="s">
        <v>2704</v>
      </c>
      <c r="N765" s="157"/>
      <c r="O765" s="157" t="s">
        <v>568</v>
      </c>
      <c r="P765" s="36" t="s">
        <v>2706</v>
      </c>
    </row>
    <row r="766" s="92" customFormat="1" ht="20.1" customHeight="1" spans="1:16">
      <c r="A766" s="157" t="s">
        <v>2707</v>
      </c>
      <c r="B766" s="36" t="s">
        <v>1114</v>
      </c>
      <c r="C766" s="267"/>
      <c r="D766" s="268">
        <f t="shared" si="161"/>
        <v>0</v>
      </c>
      <c r="E766" s="267"/>
      <c r="F766" s="267"/>
      <c r="G766" s="267"/>
      <c r="H766" s="267"/>
      <c r="I766" s="287"/>
      <c r="J766" s="288"/>
      <c r="K766" s="276" t="s">
        <v>1087</v>
      </c>
      <c r="L766" s="33">
        <v>1</v>
      </c>
      <c r="M766" s="157" t="s">
        <v>2707</v>
      </c>
      <c r="N766" s="157"/>
      <c r="O766" s="157" t="s">
        <v>568</v>
      </c>
      <c r="P766" s="36" t="s">
        <v>1115</v>
      </c>
    </row>
    <row r="767" s="92" customFormat="1" ht="20.1" customHeight="1" spans="1:16">
      <c r="A767" s="157" t="s">
        <v>2708</v>
      </c>
      <c r="B767" s="36" t="s">
        <v>2709</v>
      </c>
      <c r="C767" s="267">
        <v>0</v>
      </c>
      <c r="D767" s="268">
        <f t="shared" si="161"/>
        <v>0</v>
      </c>
      <c r="E767" s="267"/>
      <c r="F767" s="267"/>
      <c r="G767" s="267"/>
      <c r="H767" s="267"/>
      <c r="I767" s="287"/>
      <c r="J767" s="288">
        <f t="shared" ref="J767:J769" si="162">ROUND(IF(C767=0,IF(D767=0,0,1),IF(D767=0,-1,D767/C767)),4)*100</f>
        <v>0</v>
      </c>
      <c r="K767" s="276" t="s">
        <v>1087</v>
      </c>
      <c r="L767" s="33">
        <v>1</v>
      </c>
      <c r="M767" s="157" t="s">
        <v>2708</v>
      </c>
      <c r="N767" s="157"/>
      <c r="O767" s="157" t="s">
        <v>568</v>
      </c>
      <c r="P767" s="36" t="s">
        <v>2710</v>
      </c>
    </row>
    <row r="768" s="93" customFormat="1" ht="20.1" customHeight="1" spans="1:16">
      <c r="A768" s="263" t="s">
        <v>569</v>
      </c>
      <c r="B768" s="297" t="s">
        <v>333</v>
      </c>
      <c r="C768" s="265">
        <f t="shared" ref="C768:I768" si="163">SUM(C769:C772)</f>
        <v>0</v>
      </c>
      <c r="D768" s="265">
        <f t="shared" si="161"/>
        <v>0</v>
      </c>
      <c r="E768" s="265">
        <f t="shared" si="163"/>
        <v>0</v>
      </c>
      <c r="F768" s="265">
        <f t="shared" si="163"/>
        <v>0</v>
      </c>
      <c r="G768" s="265">
        <f t="shared" si="163"/>
        <v>0</v>
      </c>
      <c r="H768" s="265">
        <f t="shared" si="163"/>
        <v>0</v>
      </c>
      <c r="I768" s="265">
        <f t="shared" si="163"/>
        <v>0</v>
      </c>
      <c r="J768" s="298">
        <f t="shared" si="162"/>
        <v>0</v>
      </c>
      <c r="K768" s="284" t="s">
        <v>1082</v>
      </c>
      <c r="L768" s="285"/>
      <c r="M768" s="263" t="s">
        <v>569</v>
      </c>
      <c r="N768" s="263" t="s">
        <v>556</v>
      </c>
      <c r="O768" s="263" t="s">
        <v>569</v>
      </c>
      <c r="P768" s="297" t="s">
        <v>2711</v>
      </c>
    </row>
    <row r="769" s="92" customFormat="1" ht="20.1" customHeight="1" spans="1:16">
      <c r="A769" s="157" t="s">
        <v>2712</v>
      </c>
      <c r="B769" s="36" t="s">
        <v>1086</v>
      </c>
      <c r="C769" s="267"/>
      <c r="D769" s="268">
        <f t="shared" si="161"/>
        <v>0</v>
      </c>
      <c r="E769" s="267"/>
      <c r="F769" s="267"/>
      <c r="G769" s="267"/>
      <c r="H769" s="267"/>
      <c r="I769" s="287"/>
      <c r="J769" s="288">
        <f t="shared" si="162"/>
        <v>0</v>
      </c>
      <c r="K769" s="276" t="s">
        <v>1087</v>
      </c>
      <c r="L769" s="33">
        <v>1</v>
      </c>
      <c r="M769" s="157" t="s">
        <v>2712</v>
      </c>
      <c r="N769" s="157"/>
      <c r="O769" s="157" t="s">
        <v>569</v>
      </c>
      <c r="P769" s="36" t="s">
        <v>1088</v>
      </c>
    </row>
    <row r="770" s="92" customFormat="1" ht="20.1" customHeight="1" spans="1:16">
      <c r="A770" s="157" t="s">
        <v>2713</v>
      </c>
      <c r="B770" s="36" t="s">
        <v>1090</v>
      </c>
      <c r="C770" s="267"/>
      <c r="D770" s="268">
        <f t="shared" si="161"/>
        <v>0</v>
      </c>
      <c r="E770" s="267"/>
      <c r="F770" s="267"/>
      <c r="G770" s="267"/>
      <c r="H770" s="267"/>
      <c r="I770" s="287"/>
      <c r="J770" s="288"/>
      <c r="K770" s="276" t="s">
        <v>1087</v>
      </c>
      <c r="L770" s="33">
        <v>1</v>
      </c>
      <c r="M770" s="157" t="s">
        <v>2713</v>
      </c>
      <c r="N770" s="157"/>
      <c r="O770" s="157" t="s">
        <v>569</v>
      </c>
      <c r="P770" s="36" t="s">
        <v>1091</v>
      </c>
    </row>
    <row r="771" s="92" customFormat="1" ht="20.1" customHeight="1" spans="1:16">
      <c r="A771" s="157" t="s">
        <v>2714</v>
      </c>
      <c r="B771" s="36" t="s">
        <v>1093</v>
      </c>
      <c r="C771" s="267"/>
      <c r="D771" s="268">
        <f t="shared" si="161"/>
        <v>0</v>
      </c>
      <c r="E771" s="267"/>
      <c r="F771" s="267"/>
      <c r="G771" s="267"/>
      <c r="H771" s="267"/>
      <c r="I771" s="287"/>
      <c r="J771" s="288"/>
      <c r="K771" s="276" t="s">
        <v>1087</v>
      </c>
      <c r="L771" s="33">
        <v>1</v>
      </c>
      <c r="M771" s="157" t="s">
        <v>2714</v>
      </c>
      <c r="N771" s="157"/>
      <c r="O771" s="157" t="s">
        <v>569</v>
      </c>
      <c r="P771" s="36" t="s">
        <v>1094</v>
      </c>
    </row>
    <row r="772" s="92" customFormat="1" ht="20.1" customHeight="1" spans="1:16">
      <c r="A772" s="157" t="s">
        <v>2715</v>
      </c>
      <c r="B772" s="36" t="s">
        <v>2716</v>
      </c>
      <c r="C772" s="267">
        <v>0</v>
      </c>
      <c r="D772" s="268">
        <f t="shared" si="161"/>
        <v>0</v>
      </c>
      <c r="E772" s="267"/>
      <c r="F772" s="267"/>
      <c r="G772" s="267"/>
      <c r="H772" s="267"/>
      <c r="I772" s="287"/>
      <c r="J772" s="288">
        <f t="shared" ref="J772:J774" si="164">ROUND(IF(C772=0,IF(D772=0,0,1),IF(D772=0,-1,D772/C772)),4)*100</f>
        <v>0</v>
      </c>
      <c r="K772" s="276" t="s">
        <v>1087</v>
      </c>
      <c r="L772" s="33">
        <v>1</v>
      </c>
      <c r="M772" s="157" t="s">
        <v>2715</v>
      </c>
      <c r="N772" s="157"/>
      <c r="O772" s="157" t="s">
        <v>569</v>
      </c>
      <c r="P772" s="36" t="s">
        <v>2717</v>
      </c>
    </row>
    <row r="773" s="93" customFormat="1" ht="20.1" customHeight="1" spans="1:16">
      <c r="A773" s="263" t="s">
        <v>2718</v>
      </c>
      <c r="B773" s="297" t="s">
        <v>2719</v>
      </c>
      <c r="C773" s="265">
        <f t="shared" ref="C773:I773" si="165">SUM(C774:C775)</f>
        <v>0</v>
      </c>
      <c r="D773" s="265">
        <f t="shared" si="161"/>
        <v>0</v>
      </c>
      <c r="E773" s="265">
        <f t="shared" si="165"/>
        <v>0</v>
      </c>
      <c r="F773" s="265">
        <f t="shared" si="165"/>
        <v>0</v>
      </c>
      <c r="G773" s="265">
        <f t="shared" si="165"/>
        <v>0</v>
      </c>
      <c r="H773" s="265">
        <f t="shared" si="165"/>
        <v>0</v>
      </c>
      <c r="I773" s="265">
        <f t="shared" si="165"/>
        <v>0</v>
      </c>
      <c r="J773" s="298">
        <f t="shared" si="164"/>
        <v>0</v>
      </c>
      <c r="K773" s="284" t="s">
        <v>1082</v>
      </c>
      <c r="L773" s="285"/>
      <c r="M773" s="263" t="s">
        <v>2718</v>
      </c>
      <c r="N773" s="263" t="s">
        <v>556</v>
      </c>
      <c r="O773" s="263" t="s">
        <v>2718</v>
      </c>
      <c r="P773" s="297" t="s">
        <v>2711</v>
      </c>
    </row>
    <row r="774" s="92" customFormat="1" ht="20.1" customHeight="1" spans="1:16">
      <c r="A774" s="157" t="s">
        <v>2720</v>
      </c>
      <c r="B774" s="36" t="s">
        <v>2721</v>
      </c>
      <c r="C774" s="267"/>
      <c r="D774" s="268">
        <f t="shared" si="161"/>
        <v>0</v>
      </c>
      <c r="E774" s="267"/>
      <c r="F774" s="267"/>
      <c r="G774" s="267"/>
      <c r="H774" s="267"/>
      <c r="I774" s="287"/>
      <c r="J774" s="288">
        <f t="shared" si="164"/>
        <v>0</v>
      </c>
      <c r="K774" s="276" t="s">
        <v>1087</v>
      </c>
      <c r="L774" s="33">
        <v>1</v>
      </c>
      <c r="M774" s="157" t="s">
        <v>2720</v>
      </c>
      <c r="N774" s="157"/>
      <c r="O774" s="157" t="s">
        <v>2718</v>
      </c>
      <c r="P774" s="36" t="s">
        <v>2722</v>
      </c>
    </row>
    <row r="775" s="92" customFormat="1" ht="20.1" customHeight="1" spans="1:16">
      <c r="A775" s="157" t="s">
        <v>2723</v>
      </c>
      <c r="B775" s="36" t="s">
        <v>2724</v>
      </c>
      <c r="C775" s="267"/>
      <c r="D775" s="268">
        <f t="shared" si="161"/>
        <v>0</v>
      </c>
      <c r="E775" s="267"/>
      <c r="F775" s="267"/>
      <c r="G775" s="267"/>
      <c r="H775" s="267"/>
      <c r="I775" s="287"/>
      <c r="J775" s="288"/>
      <c r="K775" s="276" t="s">
        <v>1087</v>
      </c>
      <c r="L775" s="33">
        <v>1</v>
      </c>
      <c r="M775" s="157" t="s">
        <v>2723</v>
      </c>
      <c r="N775" s="157"/>
      <c r="O775" s="157" t="s">
        <v>2718</v>
      </c>
      <c r="P775" s="36" t="s">
        <v>2725</v>
      </c>
    </row>
    <row r="776" s="93" customFormat="1" ht="20.1" customHeight="1" spans="1:16">
      <c r="A776" s="263" t="s">
        <v>570</v>
      </c>
      <c r="B776" s="297" t="s">
        <v>334</v>
      </c>
      <c r="C776" s="265">
        <f t="shared" ref="C776:I776" si="166">SUM(C777:C777)</f>
        <v>348</v>
      </c>
      <c r="D776" s="265">
        <f t="shared" si="161"/>
        <v>1974</v>
      </c>
      <c r="E776" s="265">
        <f t="shared" si="166"/>
        <v>760</v>
      </c>
      <c r="F776" s="265">
        <f t="shared" si="166"/>
        <v>0</v>
      </c>
      <c r="G776" s="265">
        <f t="shared" si="166"/>
        <v>1046</v>
      </c>
      <c r="H776" s="265">
        <f t="shared" si="166"/>
        <v>0</v>
      </c>
      <c r="I776" s="265">
        <f t="shared" si="166"/>
        <v>168</v>
      </c>
      <c r="J776" s="298">
        <f t="shared" ref="J776:J786" si="167">ROUND(IF(C776=0,IF(D776=0,0,1),IF(D776=0,-1,D776/C776)),4)*100</f>
        <v>567.24</v>
      </c>
      <c r="K776" s="284" t="s">
        <v>1082</v>
      </c>
      <c r="L776" s="285"/>
      <c r="M776" s="263" t="s">
        <v>570</v>
      </c>
      <c r="N776" s="263" t="s">
        <v>556</v>
      </c>
      <c r="O776" s="263" t="s">
        <v>570</v>
      </c>
      <c r="P776" s="286" t="s">
        <v>2726</v>
      </c>
    </row>
    <row r="777" s="92" customFormat="1" ht="20.1" customHeight="1" spans="1:16">
      <c r="A777" s="172" t="s">
        <v>2727</v>
      </c>
      <c r="B777" s="36" t="s">
        <v>334</v>
      </c>
      <c r="C777" s="267">
        <v>348</v>
      </c>
      <c r="D777" s="268">
        <f t="shared" si="161"/>
        <v>1974</v>
      </c>
      <c r="E777" s="267">
        <v>760</v>
      </c>
      <c r="F777" s="267"/>
      <c r="G777" s="267">
        <v>1046</v>
      </c>
      <c r="H777" s="267"/>
      <c r="I777" s="287">
        <v>168</v>
      </c>
      <c r="J777" s="288"/>
      <c r="K777" s="276" t="s">
        <v>1087</v>
      </c>
      <c r="L777" s="33">
        <v>1</v>
      </c>
      <c r="M777" s="157" t="s">
        <v>2727</v>
      </c>
      <c r="N777" s="157"/>
      <c r="O777" s="157" t="s">
        <v>570</v>
      </c>
      <c r="P777" s="163" t="s">
        <v>2726</v>
      </c>
    </row>
    <row r="778" s="93" customFormat="1" ht="20.1" customHeight="1" spans="1:16">
      <c r="A778" s="154" t="s">
        <v>571</v>
      </c>
      <c r="B778" s="261" t="s">
        <v>335</v>
      </c>
      <c r="C778" s="262">
        <f t="shared" ref="C778:I778" si="168">C779+C789+C793+C802+C809+C816+C819+C822+C824+C826+C832+C835+C837+C848</f>
        <v>1142</v>
      </c>
      <c r="D778" s="262">
        <f t="shared" si="161"/>
        <v>4252</v>
      </c>
      <c r="E778" s="262">
        <f t="shared" si="168"/>
        <v>1660</v>
      </c>
      <c r="F778" s="262">
        <f t="shared" si="168"/>
        <v>20</v>
      </c>
      <c r="G778" s="262">
        <f t="shared" si="168"/>
        <v>2235</v>
      </c>
      <c r="H778" s="262">
        <f t="shared" si="168"/>
        <v>0</v>
      </c>
      <c r="I778" s="262">
        <f t="shared" si="168"/>
        <v>337</v>
      </c>
      <c r="J778" s="279">
        <f t="shared" si="167"/>
        <v>372.33</v>
      </c>
      <c r="K778" s="280" t="s">
        <v>1081</v>
      </c>
      <c r="L778" s="281"/>
      <c r="M778" s="154" t="s">
        <v>571</v>
      </c>
      <c r="N778" s="154" t="s">
        <v>571</v>
      </c>
      <c r="O778" s="154" t="s">
        <v>571</v>
      </c>
      <c r="P778" s="282" t="s">
        <v>2728</v>
      </c>
    </row>
    <row r="779" s="93" customFormat="1" ht="20.1" customHeight="1" spans="1:16">
      <c r="A779" s="263" t="s">
        <v>572</v>
      </c>
      <c r="B779" s="297" t="s">
        <v>336</v>
      </c>
      <c r="C779" s="265">
        <f t="shared" ref="C779:I779" si="169">SUM(C780:C788)</f>
        <v>1</v>
      </c>
      <c r="D779" s="265">
        <f t="shared" si="161"/>
        <v>0</v>
      </c>
      <c r="E779" s="265">
        <f t="shared" si="169"/>
        <v>0</v>
      </c>
      <c r="F779" s="265">
        <f t="shared" si="169"/>
        <v>0</v>
      </c>
      <c r="G779" s="265">
        <f t="shared" si="169"/>
        <v>0</v>
      </c>
      <c r="H779" s="265">
        <f t="shared" si="169"/>
        <v>0</v>
      </c>
      <c r="I779" s="265">
        <f t="shared" si="169"/>
        <v>0</v>
      </c>
      <c r="J779" s="298">
        <f t="shared" si="167"/>
        <v>-100</v>
      </c>
      <c r="K779" s="284" t="s">
        <v>1082</v>
      </c>
      <c r="L779" s="285"/>
      <c r="M779" s="263" t="s">
        <v>572</v>
      </c>
      <c r="N779" s="263" t="s">
        <v>571</v>
      </c>
      <c r="O779" s="263" t="s">
        <v>572</v>
      </c>
      <c r="P779" s="286" t="s">
        <v>2729</v>
      </c>
    </row>
    <row r="780" s="92" customFormat="1" ht="20.1" customHeight="1" spans="1:16">
      <c r="A780" s="157" t="s">
        <v>2730</v>
      </c>
      <c r="B780" s="36" t="s">
        <v>1086</v>
      </c>
      <c r="C780" s="267">
        <v>1</v>
      </c>
      <c r="D780" s="268">
        <f t="shared" si="161"/>
        <v>0</v>
      </c>
      <c r="E780" s="267"/>
      <c r="F780" s="267"/>
      <c r="G780" s="267"/>
      <c r="H780" s="267"/>
      <c r="I780" s="287"/>
      <c r="J780" s="288">
        <f t="shared" si="167"/>
        <v>-100</v>
      </c>
      <c r="K780" s="276" t="s">
        <v>1087</v>
      </c>
      <c r="L780" s="33">
        <v>1</v>
      </c>
      <c r="M780" s="157" t="s">
        <v>2730</v>
      </c>
      <c r="N780" s="157"/>
      <c r="O780" s="157" t="s">
        <v>572</v>
      </c>
      <c r="P780" s="164" t="s">
        <v>1088</v>
      </c>
    </row>
    <row r="781" s="92" customFormat="1" ht="20.1" customHeight="1" spans="1:16">
      <c r="A781" s="157" t="s">
        <v>2731</v>
      </c>
      <c r="B781" s="36" t="s">
        <v>1090</v>
      </c>
      <c r="C781" s="267">
        <v>0</v>
      </c>
      <c r="D781" s="268">
        <f t="shared" si="161"/>
        <v>0</v>
      </c>
      <c r="E781" s="267"/>
      <c r="F781" s="267"/>
      <c r="G781" s="267"/>
      <c r="H781" s="267"/>
      <c r="I781" s="287"/>
      <c r="J781" s="288">
        <f t="shared" si="167"/>
        <v>0</v>
      </c>
      <c r="K781" s="276" t="s">
        <v>1087</v>
      </c>
      <c r="L781" s="33">
        <v>1</v>
      </c>
      <c r="M781" s="157" t="s">
        <v>2731</v>
      </c>
      <c r="N781" s="157"/>
      <c r="O781" s="157" t="s">
        <v>572</v>
      </c>
      <c r="P781" s="164" t="s">
        <v>1091</v>
      </c>
    </row>
    <row r="782" s="92" customFormat="1" ht="20.1" customHeight="1" spans="1:16">
      <c r="A782" s="157" t="s">
        <v>2732</v>
      </c>
      <c r="B782" s="36" t="s">
        <v>1093</v>
      </c>
      <c r="C782" s="267">
        <v>0</v>
      </c>
      <c r="D782" s="268">
        <f t="shared" si="161"/>
        <v>0</v>
      </c>
      <c r="E782" s="267"/>
      <c r="F782" s="267"/>
      <c r="G782" s="267"/>
      <c r="H782" s="267"/>
      <c r="I782" s="287"/>
      <c r="J782" s="288">
        <f t="shared" si="167"/>
        <v>0</v>
      </c>
      <c r="K782" s="276" t="s">
        <v>1087</v>
      </c>
      <c r="L782" s="33">
        <v>1</v>
      </c>
      <c r="M782" s="157" t="s">
        <v>2732</v>
      </c>
      <c r="N782" s="157"/>
      <c r="O782" s="157" t="s">
        <v>572</v>
      </c>
      <c r="P782" s="164" t="s">
        <v>1094</v>
      </c>
    </row>
    <row r="783" s="92" customFormat="1" ht="20.1" customHeight="1" spans="1:16">
      <c r="A783" s="157" t="s">
        <v>2733</v>
      </c>
      <c r="B783" s="36" t="s">
        <v>2734</v>
      </c>
      <c r="C783" s="267">
        <v>0</v>
      </c>
      <c r="D783" s="268">
        <f t="shared" si="161"/>
        <v>0</v>
      </c>
      <c r="E783" s="267"/>
      <c r="F783" s="267"/>
      <c r="G783" s="267"/>
      <c r="H783" s="267"/>
      <c r="I783" s="287"/>
      <c r="J783" s="288">
        <f t="shared" si="167"/>
        <v>0</v>
      </c>
      <c r="K783" s="276" t="s">
        <v>1087</v>
      </c>
      <c r="L783" s="33">
        <v>1</v>
      </c>
      <c r="M783" s="157" t="s">
        <v>2733</v>
      </c>
      <c r="N783" s="157"/>
      <c r="O783" s="157" t="s">
        <v>572</v>
      </c>
      <c r="P783" s="164" t="s">
        <v>2735</v>
      </c>
    </row>
    <row r="784" s="92" customFormat="1" ht="20.1" customHeight="1" spans="1:16">
      <c r="A784" s="157" t="s">
        <v>2736</v>
      </c>
      <c r="B784" s="36" t="s">
        <v>2737</v>
      </c>
      <c r="C784" s="267">
        <v>0</v>
      </c>
      <c r="D784" s="268">
        <f t="shared" si="161"/>
        <v>0</v>
      </c>
      <c r="E784" s="267"/>
      <c r="F784" s="267"/>
      <c r="G784" s="267"/>
      <c r="H784" s="267"/>
      <c r="I784" s="287"/>
      <c r="J784" s="288">
        <f t="shared" si="167"/>
        <v>0</v>
      </c>
      <c r="K784" s="276" t="s">
        <v>1087</v>
      </c>
      <c r="L784" s="33">
        <v>1</v>
      </c>
      <c r="M784" s="157" t="s">
        <v>2736</v>
      </c>
      <c r="N784" s="157"/>
      <c r="O784" s="157" t="s">
        <v>572</v>
      </c>
      <c r="P784" s="163" t="s">
        <v>2738</v>
      </c>
    </row>
    <row r="785" s="92" customFormat="1" ht="20.1" customHeight="1" spans="1:16">
      <c r="A785" s="157" t="s">
        <v>2739</v>
      </c>
      <c r="B785" s="36" t="s">
        <v>2740</v>
      </c>
      <c r="C785" s="267">
        <v>0</v>
      </c>
      <c r="D785" s="268">
        <f t="shared" si="161"/>
        <v>0</v>
      </c>
      <c r="E785" s="267"/>
      <c r="F785" s="267"/>
      <c r="G785" s="267"/>
      <c r="H785" s="267"/>
      <c r="I785" s="287"/>
      <c r="J785" s="288">
        <f t="shared" si="167"/>
        <v>0</v>
      </c>
      <c r="K785" s="276" t="s">
        <v>1087</v>
      </c>
      <c r="L785" s="33">
        <v>1</v>
      </c>
      <c r="M785" s="157" t="s">
        <v>2739</v>
      </c>
      <c r="N785" s="157"/>
      <c r="O785" s="157" t="s">
        <v>572</v>
      </c>
      <c r="P785" s="164" t="s">
        <v>2741</v>
      </c>
    </row>
    <row r="786" s="92" customFormat="1" ht="20.1" customHeight="1" spans="1:16">
      <c r="A786" s="157" t="s">
        <v>2742</v>
      </c>
      <c r="B786" s="36" t="s">
        <v>2743</v>
      </c>
      <c r="C786" s="267">
        <v>0</v>
      </c>
      <c r="D786" s="268">
        <f t="shared" si="161"/>
        <v>0</v>
      </c>
      <c r="E786" s="267"/>
      <c r="F786" s="267"/>
      <c r="G786" s="267"/>
      <c r="H786" s="267"/>
      <c r="I786" s="287"/>
      <c r="J786" s="288">
        <f t="shared" si="167"/>
        <v>0</v>
      </c>
      <c r="K786" s="276" t="s">
        <v>1087</v>
      </c>
      <c r="L786" s="33">
        <v>1</v>
      </c>
      <c r="M786" s="157" t="s">
        <v>2742</v>
      </c>
      <c r="N786" s="157"/>
      <c r="O786" s="157" t="s">
        <v>572</v>
      </c>
      <c r="P786" s="164" t="s">
        <v>2744</v>
      </c>
    </row>
    <row r="787" s="92" customFormat="1" ht="20.1" customHeight="1" spans="1:16">
      <c r="A787" s="157" t="s">
        <v>2745</v>
      </c>
      <c r="B787" s="36" t="s">
        <v>2746</v>
      </c>
      <c r="C787" s="267"/>
      <c r="D787" s="268">
        <f t="shared" si="161"/>
        <v>0</v>
      </c>
      <c r="E787" s="267"/>
      <c r="F787" s="267"/>
      <c r="G787" s="267"/>
      <c r="H787" s="267"/>
      <c r="I787" s="287"/>
      <c r="J787" s="288"/>
      <c r="K787" s="276" t="s">
        <v>1087</v>
      </c>
      <c r="L787" s="33">
        <v>1</v>
      </c>
      <c r="M787" s="157" t="s">
        <v>2745</v>
      </c>
      <c r="N787" s="157"/>
      <c r="O787" s="157" t="s">
        <v>572</v>
      </c>
      <c r="P787" s="164" t="s">
        <v>2747</v>
      </c>
    </row>
    <row r="788" s="92" customFormat="1" ht="20.1" customHeight="1" spans="1:16">
      <c r="A788" s="157" t="s">
        <v>2748</v>
      </c>
      <c r="B788" s="36" t="s">
        <v>2749</v>
      </c>
      <c r="C788" s="267">
        <v>0</v>
      </c>
      <c r="D788" s="268">
        <f t="shared" si="161"/>
        <v>0</v>
      </c>
      <c r="E788" s="267"/>
      <c r="F788" s="267"/>
      <c r="G788" s="267"/>
      <c r="H788" s="267"/>
      <c r="I788" s="287"/>
      <c r="J788" s="288">
        <f t="shared" ref="J788:J799" si="170">ROUND(IF(C788=0,IF(D788=0,0,1),IF(D788=0,-1,D788/C788)),4)*100</f>
        <v>0</v>
      </c>
      <c r="K788" s="276" t="s">
        <v>1087</v>
      </c>
      <c r="L788" s="33">
        <v>1</v>
      </c>
      <c r="M788" s="157" t="s">
        <v>2748</v>
      </c>
      <c r="N788" s="157"/>
      <c r="O788" s="157" t="s">
        <v>572</v>
      </c>
      <c r="P788" s="163" t="s">
        <v>2750</v>
      </c>
    </row>
    <row r="789" s="93" customFormat="1" ht="20.1" customHeight="1" spans="1:16">
      <c r="A789" s="263" t="s">
        <v>573</v>
      </c>
      <c r="B789" s="297" t="s">
        <v>337</v>
      </c>
      <c r="C789" s="265">
        <v>0</v>
      </c>
      <c r="D789" s="265">
        <f t="shared" si="161"/>
        <v>0</v>
      </c>
      <c r="E789" s="265">
        <f t="shared" ref="E789:H789" si="171">SUM(E790:E792)</f>
        <v>0</v>
      </c>
      <c r="F789" s="265">
        <f t="shared" si="171"/>
        <v>0</v>
      </c>
      <c r="G789" s="265">
        <f>VLOOKUP(A789,[1]√表四、2024年公共财政支出变动表!$A$7:$R$214,18,FALSE)</f>
        <v>0</v>
      </c>
      <c r="H789" s="265">
        <f t="shared" si="171"/>
        <v>0</v>
      </c>
      <c r="I789" s="265"/>
      <c r="J789" s="298">
        <f t="shared" si="170"/>
        <v>0</v>
      </c>
      <c r="K789" s="284" t="s">
        <v>1082</v>
      </c>
      <c r="L789" s="285"/>
      <c r="M789" s="263" t="s">
        <v>573</v>
      </c>
      <c r="N789" s="263" t="s">
        <v>571</v>
      </c>
      <c r="O789" s="263" t="s">
        <v>573</v>
      </c>
      <c r="P789" s="286" t="s">
        <v>2751</v>
      </c>
    </row>
    <row r="790" s="92" customFormat="1" ht="20.1" customHeight="1" spans="1:16">
      <c r="A790" s="157" t="s">
        <v>2752</v>
      </c>
      <c r="B790" s="36" t="s">
        <v>2753</v>
      </c>
      <c r="C790" s="267">
        <v>0</v>
      </c>
      <c r="D790" s="268">
        <f t="shared" si="161"/>
        <v>0</v>
      </c>
      <c r="E790" s="267"/>
      <c r="F790" s="267"/>
      <c r="G790" s="267"/>
      <c r="H790" s="267"/>
      <c r="I790" s="287"/>
      <c r="J790" s="288">
        <f t="shared" si="170"/>
        <v>0</v>
      </c>
      <c r="K790" s="276" t="s">
        <v>1087</v>
      </c>
      <c r="L790" s="33">
        <v>1</v>
      </c>
      <c r="M790" s="157" t="s">
        <v>2752</v>
      </c>
      <c r="N790" s="157"/>
      <c r="O790" s="157" t="s">
        <v>573</v>
      </c>
      <c r="P790" s="163" t="s">
        <v>2754</v>
      </c>
    </row>
    <row r="791" s="252" customFormat="1" ht="20.1" customHeight="1" spans="1:16">
      <c r="A791" s="157" t="s">
        <v>2755</v>
      </c>
      <c r="B791" s="36" t="s">
        <v>2756</v>
      </c>
      <c r="C791" s="267">
        <v>0</v>
      </c>
      <c r="D791" s="268">
        <f t="shared" si="161"/>
        <v>0</v>
      </c>
      <c r="E791" s="267"/>
      <c r="F791" s="267"/>
      <c r="G791" s="267"/>
      <c r="H791" s="267"/>
      <c r="I791" s="287"/>
      <c r="J791" s="288">
        <f t="shared" si="170"/>
        <v>0</v>
      </c>
      <c r="K791" s="276" t="s">
        <v>1087</v>
      </c>
      <c r="L791" s="33">
        <v>1</v>
      </c>
      <c r="M791" s="157" t="s">
        <v>2755</v>
      </c>
      <c r="N791" s="157"/>
      <c r="O791" s="157" t="s">
        <v>573</v>
      </c>
      <c r="P791" s="163" t="s">
        <v>2757</v>
      </c>
    </row>
    <row r="792" s="252" customFormat="1" ht="20.1" customHeight="1" spans="1:16">
      <c r="A792" s="157" t="s">
        <v>2758</v>
      </c>
      <c r="B792" s="36" t="s">
        <v>2759</v>
      </c>
      <c r="C792" s="267">
        <v>0</v>
      </c>
      <c r="D792" s="268">
        <f t="shared" si="161"/>
        <v>0</v>
      </c>
      <c r="E792" s="267"/>
      <c r="F792" s="267"/>
      <c r="G792" s="267"/>
      <c r="H792" s="267"/>
      <c r="I792" s="287"/>
      <c r="J792" s="288">
        <f t="shared" si="170"/>
        <v>0</v>
      </c>
      <c r="K792" s="276" t="s">
        <v>1087</v>
      </c>
      <c r="L792" s="33">
        <v>1</v>
      </c>
      <c r="M792" s="157" t="s">
        <v>2758</v>
      </c>
      <c r="N792" s="157"/>
      <c r="O792" s="157" t="s">
        <v>573</v>
      </c>
      <c r="P792" s="163" t="s">
        <v>2760</v>
      </c>
    </row>
    <row r="793" s="93" customFormat="1" ht="20.1" customHeight="1" spans="1:16">
      <c r="A793" s="263" t="s">
        <v>574</v>
      </c>
      <c r="B793" s="297" t="s">
        <v>338</v>
      </c>
      <c r="C793" s="265">
        <f t="shared" ref="C793:I793" si="172">SUM(C794:C801)</f>
        <v>8</v>
      </c>
      <c r="D793" s="265">
        <f t="shared" si="161"/>
        <v>79</v>
      </c>
      <c r="E793" s="265">
        <f t="shared" si="172"/>
        <v>0</v>
      </c>
      <c r="F793" s="265">
        <f t="shared" si="172"/>
        <v>0</v>
      </c>
      <c r="G793" s="265">
        <f t="shared" si="172"/>
        <v>79</v>
      </c>
      <c r="H793" s="265">
        <f t="shared" si="172"/>
        <v>0</v>
      </c>
      <c r="I793" s="265">
        <f t="shared" si="172"/>
        <v>0</v>
      </c>
      <c r="J793" s="298">
        <f t="shared" si="170"/>
        <v>987.5</v>
      </c>
      <c r="K793" s="284" t="s">
        <v>1082</v>
      </c>
      <c r="L793" s="285"/>
      <c r="M793" s="263" t="s">
        <v>574</v>
      </c>
      <c r="N793" s="263" t="s">
        <v>571</v>
      </c>
      <c r="O793" s="263" t="s">
        <v>574</v>
      </c>
      <c r="P793" s="286" t="s">
        <v>2761</v>
      </c>
    </row>
    <row r="794" s="252" customFormat="1" ht="20.1" customHeight="1" spans="1:16">
      <c r="A794" s="157" t="s">
        <v>2762</v>
      </c>
      <c r="B794" s="36" t="s">
        <v>2763</v>
      </c>
      <c r="C794" s="267">
        <v>8</v>
      </c>
      <c r="D794" s="268">
        <f t="shared" si="161"/>
        <v>6</v>
      </c>
      <c r="E794" s="267"/>
      <c r="F794" s="267"/>
      <c r="G794" s="267">
        <v>6</v>
      </c>
      <c r="H794" s="267"/>
      <c r="I794" s="287"/>
      <c r="J794" s="288">
        <f t="shared" si="170"/>
        <v>75</v>
      </c>
      <c r="K794" s="276" t="s">
        <v>1087</v>
      </c>
      <c r="L794" s="33">
        <v>1</v>
      </c>
      <c r="M794" s="157" t="s">
        <v>2762</v>
      </c>
      <c r="N794" s="157"/>
      <c r="O794" s="157" t="s">
        <v>574</v>
      </c>
      <c r="P794" s="163" t="s">
        <v>2764</v>
      </c>
    </row>
    <row r="795" s="252" customFormat="1" ht="20.1" customHeight="1" spans="1:16">
      <c r="A795" s="157" t="s">
        <v>2765</v>
      </c>
      <c r="B795" s="36" t="s">
        <v>2766</v>
      </c>
      <c r="C795" s="267"/>
      <c r="D795" s="268">
        <f t="shared" si="161"/>
        <v>73</v>
      </c>
      <c r="E795" s="267"/>
      <c r="F795" s="267"/>
      <c r="G795" s="267">
        <v>73</v>
      </c>
      <c r="H795" s="267"/>
      <c r="I795" s="287"/>
      <c r="J795" s="288">
        <f t="shared" si="170"/>
        <v>100</v>
      </c>
      <c r="K795" s="276" t="s">
        <v>1087</v>
      </c>
      <c r="L795" s="33">
        <v>1</v>
      </c>
      <c r="M795" s="157" t="s">
        <v>2765</v>
      </c>
      <c r="N795" s="157"/>
      <c r="O795" s="157" t="s">
        <v>574</v>
      </c>
      <c r="P795" s="163" t="s">
        <v>2767</v>
      </c>
    </row>
    <row r="796" s="252" customFormat="1" ht="20.1" customHeight="1" spans="1:16">
      <c r="A796" s="157" t="s">
        <v>2768</v>
      </c>
      <c r="B796" s="36" t="s">
        <v>2769</v>
      </c>
      <c r="C796" s="267">
        <v>0</v>
      </c>
      <c r="D796" s="268">
        <f t="shared" si="161"/>
        <v>0</v>
      </c>
      <c r="E796" s="267"/>
      <c r="F796" s="267"/>
      <c r="G796" s="267"/>
      <c r="H796" s="267"/>
      <c r="I796" s="287"/>
      <c r="J796" s="288">
        <f t="shared" si="170"/>
        <v>0</v>
      </c>
      <c r="K796" s="276" t="s">
        <v>1087</v>
      </c>
      <c r="L796" s="33">
        <v>1</v>
      </c>
      <c r="M796" s="157" t="s">
        <v>2768</v>
      </c>
      <c r="N796" s="157"/>
      <c r="O796" s="157" t="s">
        <v>574</v>
      </c>
      <c r="P796" s="163" t="s">
        <v>2770</v>
      </c>
    </row>
    <row r="797" s="252" customFormat="1" ht="20.1" customHeight="1" spans="1:16">
      <c r="A797" s="157" t="s">
        <v>2771</v>
      </c>
      <c r="B797" s="36" t="s">
        <v>2772</v>
      </c>
      <c r="C797" s="267">
        <v>0</v>
      </c>
      <c r="D797" s="268">
        <f t="shared" si="161"/>
        <v>0</v>
      </c>
      <c r="E797" s="267"/>
      <c r="F797" s="267"/>
      <c r="G797" s="267"/>
      <c r="H797" s="267"/>
      <c r="I797" s="287"/>
      <c r="J797" s="288">
        <f t="shared" si="170"/>
        <v>0</v>
      </c>
      <c r="K797" s="276" t="s">
        <v>1087</v>
      </c>
      <c r="L797" s="33">
        <v>1</v>
      </c>
      <c r="M797" s="157" t="s">
        <v>2771</v>
      </c>
      <c r="N797" s="157"/>
      <c r="O797" s="157" t="s">
        <v>574</v>
      </c>
      <c r="P797" s="163" t="s">
        <v>2773</v>
      </c>
    </row>
    <row r="798" s="252" customFormat="1" ht="20.1" customHeight="1" spans="1:16">
      <c r="A798" s="157" t="s">
        <v>2774</v>
      </c>
      <c r="B798" s="36" t="s">
        <v>2775</v>
      </c>
      <c r="C798" s="267">
        <v>0</v>
      </c>
      <c r="D798" s="268">
        <f t="shared" si="161"/>
        <v>0</v>
      </c>
      <c r="E798" s="267"/>
      <c r="F798" s="267"/>
      <c r="G798" s="267"/>
      <c r="H798" s="267"/>
      <c r="I798" s="287"/>
      <c r="J798" s="288">
        <f t="shared" si="170"/>
        <v>0</v>
      </c>
      <c r="K798" s="276" t="s">
        <v>1087</v>
      </c>
      <c r="L798" s="33">
        <v>1</v>
      </c>
      <c r="M798" s="157" t="s">
        <v>2774</v>
      </c>
      <c r="N798" s="157"/>
      <c r="O798" s="157" t="s">
        <v>574</v>
      </c>
      <c r="P798" s="163" t="s">
        <v>2776</v>
      </c>
    </row>
    <row r="799" s="252" customFormat="1" ht="20.1" customHeight="1" spans="1:16">
      <c r="A799" s="157" t="s">
        <v>2777</v>
      </c>
      <c r="B799" s="36" t="s">
        <v>2778</v>
      </c>
      <c r="C799" s="267">
        <v>0</v>
      </c>
      <c r="D799" s="268">
        <f t="shared" si="161"/>
        <v>0</v>
      </c>
      <c r="E799" s="267"/>
      <c r="F799" s="267"/>
      <c r="G799" s="267"/>
      <c r="H799" s="267"/>
      <c r="I799" s="287"/>
      <c r="J799" s="288">
        <f t="shared" si="170"/>
        <v>0</v>
      </c>
      <c r="K799" s="276" t="s">
        <v>1087</v>
      </c>
      <c r="L799" s="33">
        <v>1</v>
      </c>
      <c r="M799" s="157" t="s">
        <v>2777</v>
      </c>
      <c r="N799" s="157"/>
      <c r="O799" s="157" t="s">
        <v>574</v>
      </c>
      <c r="P799" s="163" t="s">
        <v>2779</v>
      </c>
    </row>
    <row r="800" s="252" customFormat="1" ht="20.1" customHeight="1" spans="1:16">
      <c r="A800" s="157" t="s">
        <v>2780</v>
      </c>
      <c r="B800" s="36" t="s">
        <v>2781</v>
      </c>
      <c r="C800" s="267"/>
      <c r="D800" s="268">
        <f t="shared" si="161"/>
        <v>0</v>
      </c>
      <c r="E800" s="267"/>
      <c r="F800" s="267"/>
      <c r="G800" s="267"/>
      <c r="H800" s="267"/>
      <c r="I800" s="287"/>
      <c r="J800" s="288"/>
      <c r="K800" s="276" t="s">
        <v>1087</v>
      </c>
      <c r="L800" s="33">
        <v>1</v>
      </c>
      <c r="M800" s="157" t="s">
        <v>2780</v>
      </c>
      <c r="N800" s="157"/>
      <c r="O800" s="157" t="s">
        <v>574</v>
      </c>
      <c r="P800" s="163" t="s">
        <v>2782</v>
      </c>
    </row>
    <row r="801" s="252" customFormat="1" ht="20.1" customHeight="1" spans="1:16">
      <c r="A801" s="157" t="s">
        <v>2783</v>
      </c>
      <c r="B801" s="36" t="s">
        <v>2784</v>
      </c>
      <c r="C801" s="267">
        <v>0</v>
      </c>
      <c r="D801" s="268">
        <f t="shared" si="161"/>
        <v>0</v>
      </c>
      <c r="E801" s="267"/>
      <c r="F801" s="267"/>
      <c r="G801" s="267"/>
      <c r="H801" s="267"/>
      <c r="I801" s="287"/>
      <c r="J801" s="288">
        <f t="shared" ref="J801:J805" si="173">ROUND(IF(C801=0,IF(D801=0,0,1),IF(D801=0,-1,D801/C801)),4)*100</f>
        <v>0</v>
      </c>
      <c r="K801" s="276" t="s">
        <v>1087</v>
      </c>
      <c r="L801" s="33">
        <v>1</v>
      </c>
      <c r="M801" s="157" t="s">
        <v>2783</v>
      </c>
      <c r="N801" s="157"/>
      <c r="O801" s="157" t="s">
        <v>574</v>
      </c>
      <c r="P801" s="163" t="s">
        <v>2785</v>
      </c>
    </row>
    <row r="802" s="93" customFormat="1" ht="20.1" customHeight="1" spans="1:16">
      <c r="A802" s="263" t="s">
        <v>575</v>
      </c>
      <c r="B802" s="297" t="s">
        <v>339</v>
      </c>
      <c r="C802" s="265">
        <f t="shared" ref="C802:I802" si="174">SUM(C803:C808)</f>
        <v>1093</v>
      </c>
      <c r="D802" s="265">
        <f t="shared" si="161"/>
        <v>2059</v>
      </c>
      <c r="E802" s="265">
        <f t="shared" si="174"/>
        <v>1140</v>
      </c>
      <c r="F802" s="265">
        <f t="shared" si="174"/>
        <v>20</v>
      </c>
      <c r="G802" s="265">
        <f t="shared" si="174"/>
        <v>899</v>
      </c>
      <c r="H802" s="265">
        <f t="shared" si="174"/>
        <v>0</v>
      </c>
      <c r="I802" s="265">
        <f t="shared" si="174"/>
        <v>0</v>
      </c>
      <c r="J802" s="298">
        <f t="shared" si="173"/>
        <v>188.38</v>
      </c>
      <c r="K802" s="284" t="s">
        <v>1082</v>
      </c>
      <c r="L802" s="285"/>
      <c r="M802" s="263" t="s">
        <v>575</v>
      </c>
      <c r="N802" s="263" t="s">
        <v>571</v>
      </c>
      <c r="O802" s="263" t="s">
        <v>575</v>
      </c>
      <c r="P802" s="286" t="s">
        <v>2786</v>
      </c>
    </row>
    <row r="803" s="252" customFormat="1" ht="20.1" customHeight="1" spans="1:16">
      <c r="A803" s="157" t="s">
        <v>2787</v>
      </c>
      <c r="B803" s="36" t="s">
        <v>2788</v>
      </c>
      <c r="C803" s="267">
        <v>1093</v>
      </c>
      <c r="D803" s="268">
        <f t="shared" si="161"/>
        <v>2029</v>
      </c>
      <c r="E803" s="267">
        <v>1140</v>
      </c>
      <c r="F803" s="267">
        <v>20</v>
      </c>
      <c r="G803" s="267">
        <v>869</v>
      </c>
      <c r="H803" s="267"/>
      <c r="I803" s="287"/>
      <c r="J803" s="288">
        <f t="shared" si="173"/>
        <v>185.64</v>
      </c>
      <c r="K803" s="276" t="s">
        <v>1087</v>
      </c>
      <c r="L803" s="33">
        <v>1</v>
      </c>
      <c r="M803" s="157" t="s">
        <v>2787</v>
      </c>
      <c r="N803" s="157"/>
      <c r="O803" s="157" t="s">
        <v>575</v>
      </c>
      <c r="P803" s="163" t="s">
        <v>2789</v>
      </c>
    </row>
    <row r="804" s="252" customFormat="1" ht="20.1" customHeight="1" spans="1:16">
      <c r="A804" s="157" t="s">
        <v>2790</v>
      </c>
      <c r="B804" s="36" t="s">
        <v>2791</v>
      </c>
      <c r="C804" s="267"/>
      <c r="D804" s="268">
        <f t="shared" si="161"/>
        <v>0</v>
      </c>
      <c r="E804" s="267"/>
      <c r="F804" s="267"/>
      <c r="G804" s="267"/>
      <c r="H804" s="267"/>
      <c r="I804" s="287"/>
      <c r="J804" s="288">
        <f t="shared" si="173"/>
        <v>0</v>
      </c>
      <c r="K804" s="276" t="s">
        <v>1087</v>
      </c>
      <c r="L804" s="33">
        <v>1</v>
      </c>
      <c r="M804" s="157" t="s">
        <v>2790</v>
      </c>
      <c r="N804" s="157"/>
      <c r="O804" s="157" t="s">
        <v>575</v>
      </c>
      <c r="P804" s="163" t="s">
        <v>2792</v>
      </c>
    </row>
    <row r="805" s="252" customFormat="1" ht="20.1" customHeight="1" spans="1:16">
      <c r="A805" s="157" t="s">
        <v>2793</v>
      </c>
      <c r="B805" s="36" t="s">
        <v>2794</v>
      </c>
      <c r="C805" s="267">
        <v>0</v>
      </c>
      <c r="D805" s="268">
        <f t="shared" si="161"/>
        <v>0</v>
      </c>
      <c r="E805" s="267"/>
      <c r="F805" s="267"/>
      <c r="G805" s="267"/>
      <c r="H805" s="267"/>
      <c r="I805" s="287"/>
      <c r="J805" s="288">
        <f t="shared" si="173"/>
        <v>0</v>
      </c>
      <c r="K805" s="276" t="s">
        <v>1087</v>
      </c>
      <c r="L805" s="33">
        <v>1</v>
      </c>
      <c r="M805" s="157" t="s">
        <v>2793</v>
      </c>
      <c r="N805" s="157"/>
      <c r="O805" s="157" t="s">
        <v>575</v>
      </c>
      <c r="P805" s="163" t="s">
        <v>2795</v>
      </c>
    </row>
    <row r="806" s="252" customFormat="1" ht="20.1" customHeight="1" spans="1:16">
      <c r="A806" s="157" t="s">
        <v>2796</v>
      </c>
      <c r="B806" s="36" t="s">
        <v>2797</v>
      </c>
      <c r="C806" s="267"/>
      <c r="D806" s="268">
        <f t="shared" si="161"/>
        <v>0</v>
      </c>
      <c r="E806" s="267"/>
      <c r="F806" s="267"/>
      <c r="G806" s="267"/>
      <c r="H806" s="267"/>
      <c r="I806" s="287"/>
      <c r="J806" s="288"/>
      <c r="K806" s="276" t="s">
        <v>1087</v>
      </c>
      <c r="L806" s="33">
        <v>1</v>
      </c>
      <c r="M806" s="157" t="s">
        <v>2796</v>
      </c>
      <c r="N806" s="157"/>
      <c r="O806" s="157" t="s">
        <v>575</v>
      </c>
      <c r="P806" s="163" t="s">
        <v>2798</v>
      </c>
    </row>
    <row r="807" s="252" customFormat="1" ht="20.1" customHeight="1" spans="1:16">
      <c r="A807" s="157" t="s">
        <v>2799</v>
      </c>
      <c r="B807" s="36" t="s">
        <v>2800</v>
      </c>
      <c r="C807" s="267"/>
      <c r="D807" s="268">
        <f t="shared" si="161"/>
        <v>24</v>
      </c>
      <c r="E807" s="267"/>
      <c r="F807" s="267"/>
      <c r="G807" s="267">
        <v>24</v>
      </c>
      <c r="H807" s="267"/>
      <c r="I807" s="287"/>
      <c r="J807" s="288">
        <f t="shared" ref="J807:J822" si="175">ROUND(IF(C807=0,IF(D807=0,0,1),IF(D807=0,-1,D807/C807)),4)*100</f>
        <v>100</v>
      </c>
      <c r="K807" s="276" t="s">
        <v>1087</v>
      </c>
      <c r="L807" s="33">
        <v>1</v>
      </c>
      <c r="M807" s="157" t="s">
        <v>2801</v>
      </c>
      <c r="N807" s="157"/>
      <c r="O807" s="157" t="s">
        <v>575</v>
      </c>
      <c r="P807" s="163" t="s">
        <v>2802</v>
      </c>
    </row>
    <row r="808" s="252" customFormat="1" ht="20.1" customHeight="1" spans="1:16">
      <c r="A808" s="157" t="s">
        <v>2803</v>
      </c>
      <c r="B808" s="36" t="s">
        <v>2804</v>
      </c>
      <c r="C808" s="267"/>
      <c r="D808" s="268">
        <f t="shared" si="161"/>
        <v>6</v>
      </c>
      <c r="E808" s="267"/>
      <c r="F808" s="267"/>
      <c r="G808" s="267">
        <v>6</v>
      </c>
      <c r="H808" s="267"/>
      <c r="I808" s="287"/>
      <c r="J808" s="288">
        <f t="shared" si="175"/>
        <v>100</v>
      </c>
      <c r="K808" s="276" t="s">
        <v>1087</v>
      </c>
      <c r="L808" s="33">
        <v>1</v>
      </c>
      <c r="M808" s="157" t="s">
        <v>2803</v>
      </c>
      <c r="N808" s="157"/>
      <c r="O808" s="157" t="s">
        <v>575</v>
      </c>
      <c r="P808" s="163" t="s">
        <v>2805</v>
      </c>
    </row>
    <row r="809" s="93" customFormat="1" ht="20.1" customHeight="1" spans="1:16">
      <c r="A809" s="263" t="s">
        <v>576</v>
      </c>
      <c r="B809" s="297" t="s">
        <v>2806</v>
      </c>
      <c r="C809" s="265">
        <f t="shared" ref="C809:I809" si="176">SUM(C810:C815)</f>
        <v>7</v>
      </c>
      <c r="D809" s="265">
        <f t="shared" si="161"/>
        <v>1537</v>
      </c>
      <c r="E809" s="265">
        <f t="shared" si="176"/>
        <v>520</v>
      </c>
      <c r="F809" s="265">
        <f t="shared" si="176"/>
        <v>0</v>
      </c>
      <c r="G809" s="265">
        <f t="shared" si="176"/>
        <v>1017</v>
      </c>
      <c r="H809" s="265">
        <f t="shared" si="176"/>
        <v>0</v>
      </c>
      <c r="I809" s="265">
        <f t="shared" si="176"/>
        <v>0</v>
      </c>
      <c r="J809" s="298">
        <f t="shared" si="175"/>
        <v>21957.14</v>
      </c>
      <c r="K809" s="284" t="s">
        <v>1082</v>
      </c>
      <c r="L809" s="285"/>
      <c r="M809" s="263" t="s">
        <v>576</v>
      </c>
      <c r="N809" s="263" t="s">
        <v>571</v>
      </c>
      <c r="O809" s="263" t="s">
        <v>576</v>
      </c>
      <c r="P809" s="286" t="s">
        <v>2807</v>
      </c>
    </row>
    <row r="810" s="252" customFormat="1" ht="20.1" customHeight="1" spans="1:16">
      <c r="A810" s="157" t="s">
        <v>2808</v>
      </c>
      <c r="B810" s="36" t="s">
        <v>2809</v>
      </c>
      <c r="C810" s="267"/>
      <c r="D810" s="268">
        <f t="shared" si="161"/>
        <v>1425</v>
      </c>
      <c r="E810" s="267">
        <v>520</v>
      </c>
      <c r="F810" s="267"/>
      <c r="G810" s="267">
        <v>905</v>
      </c>
      <c r="H810" s="267"/>
      <c r="I810" s="287"/>
      <c r="J810" s="288">
        <f t="shared" si="175"/>
        <v>100</v>
      </c>
      <c r="K810" s="276" t="s">
        <v>1087</v>
      </c>
      <c r="L810" s="33">
        <v>1</v>
      </c>
      <c r="M810" s="157" t="s">
        <v>2808</v>
      </c>
      <c r="N810" s="157"/>
      <c r="O810" s="157" t="s">
        <v>576</v>
      </c>
      <c r="P810" s="163" t="s">
        <v>2810</v>
      </c>
    </row>
    <row r="811" s="92" customFormat="1" ht="20.1" customHeight="1" spans="1:16">
      <c r="A811" s="157" t="s">
        <v>2811</v>
      </c>
      <c r="B811" s="36" t="s">
        <v>2812</v>
      </c>
      <c r="C811" s="267"/>
      <c r="D811" s="268">
        <f t="shared" si="161"/>
        <v>0</v>
      </c>
      <c r="E811" s="267"/>
      <c r="F811" s="267"/>
      <c r="G811" s="267"/>
      <c r="H811" s="267"/>
      <c r="I811" s="287"/>
      <c r="J811" s="288">
        <f t="shared" si="175"/>
        <v>0</v>
      </c>
      <c r="K811" s="276" t="s">
        <v>1087</v>
      </c>
      <c r="L811" s="33">
        <v>1</v>
      </c>
      <c r="M811" s="157" t="s">
        <v>2811</v>
      </c>
      <c r="N811" s="157"/>
      <c r="O811" s="157" t="s">
        <v>576</v>
      </c>
      <c r="P811" s="163" t="s">
        <v>2813</v>
      </c>
    </row>
    <row r="812" s="92" customFormat="1" ht="20.1" customHeight="1" spans="1:16">
      <c r="A812" s="157" t="s">
        <v>2814</v>
      </c>
      <c r="B812" s="36" t="s">
        <v>2815</v>
      </c>
      <c r="C812" s="267"/>
      <c r="D812" s="268">
        <f t="shared" si="161"/>
        <v>0</v>
      </c>
      <c r="E812" s="267"/>
      <c r="F812" s="267"/>
      <c r="G812" s="267"/>
      <c r="H812" s="267"/>
      <c r="I812" s="287"/>
      <c r="J812" s="288">
        <f t="shared" si="175"/>
        <v>0</v>
      </c>
      <c r="K812" s="276" t="s">
        <v>1087</v>
      </c>
      <c r="L812" s="33">
        <v>1</v>
      </c>
      <c r="M812" s="157" t="s">
        <v>2814</v>
      </c>
      <c r="N812" s="157"/>
      <c r="O812" s="157" t="s">
        <v>576</v>
      </c>
      <c r="P812" s="163" t="s">
        <v>2816</v>
      </c>
    </row>
    <row r="813" s="92" customFormat="1" ht="20.1" customHeight="1" spans="1:16">
      <c r="A813" s="157" t="s">
        <v>2817</v>
      </c>
      <c r="B813" s="36" t="s">
        <v>2818</v>
      </c>
      <c r="C813" s="267"/>
      <c r="D813" s="268">
        <f t="shared" si="161"/>
        <v>0</v>
      </c>
      <c r="E813" s="267"/>
      <c r="F813" s="267"/>
      <c r="G813" s="267"/>
      <c r="H813" s="267"/>
      <c r="I813" s="287"/>
      <c r="J813" s="288">
        <f t="shared" si="175"/>
        <v>0</v>
      </c>
      <c r="K813" s="276" t="s">
        <v>1087</v>
      </c>
      <c r="L813" s="33">
        <v>1</v>
      </c>
      <c r="M813" s="157" t="s">
        <v>2817</v>
      </c>
      <c r="N813" s="157"/>
      <c r="O813" s="157" t="s">
        <v>576</v>
      </c>
      <c r="P813" s="163" t="s">
        <v>2819</v>
      </c>
    </row>
    <row r="814" s="92" customFormat="1" ht="20.1" customHeight="1" spans="1:16">
      <c r="A814" s="157" t="s">
        <v>2820</v>
      </c>
      <c r="B814" s="36" t="s">
        <v>2821</v>
      </c>
      <c r="C814" s="267">
        <v>7</v>
      </c>
      <c r="D814" s="268">
        <f t="shared" si="161"/>
        <v>112</v>
      </c>
      <c r="E814" s="267"/>
      <c r="F814" s="267"/>
      <c r="G814" s="267">
        <v>112</v>
      </c>
      <c r="H814" s="267"/>
      <c r="I814" s="287"/>
      <c r="J814" s="288">
        <f t="shared" si="175"/>
        <v>1600</v>
      </c>
      <c r="K814" s="276" t="s">
        <v>1087</v>
      </c>
      <c r="L814" s="33">
        <v>1</v>
      </c>
      <c r="M814" s="157" t="s">
        <v>2820</v>
      </c>
      <c r="N814" s="157"/>
      <c r="O814" s="157" t="s">
        <v>576</v>
      </c>
      <c r="P814" s="163" t="s">
        <v>2822</v>
      </c>
    </row>
    <row r="815" s="92" customFormat="1" ht="20.1" customHeight="1" spans="1:16">
      <c r="A815" s="157" t="s">
        <v>2823</v>
      </c>
      <c r="B815" s="36" t="s">
        <v>2824</v>
      </c>
      <c r="C815" s="267">
        <v>0</v>
      </c>
      <c r="D815" s="268">
        <f t="shared" si="161"/>
        <v>0</v>
      </c>
      <c r="E815" s="267"/>
      <c r="F815" s="267"/>
      <c r="G815" s="267"/>
      <c r="H815" s="267"/>
      <c r="I815" s="287"/>
      <c r="J815" s="288">
        <f t="shared" si="175"/>
        <v>0</v>
      </c>
      <c r="K815" s="276" t="s">
        <v>1087</v>
      </c>
      <c r="L815" s="33">
        <v>1</v>
      </c>
      <c r="M815" s="157" t="s">
        <v>2823</v>
      </c>
      <c r="N815" s="157"/>
      <c r="O815" s="157" t="s">
        <v>576</v>
      </c>
      <c r="P815" s="163" t="s">
        <v>2825</v>
      </c>
    </row>
    <row r="816" s="93" customFormat="1" ht="20.1" customHeight="1" spans="1:16">
      <c r="A816" s="263" t="s">
        <v>579</v>
      </c>
      <c r="B816" s="297" t="s">
        <v>342</v>
      </c>
      <c r="C816" s="265">
        <v>0</v>
      </c>
      <c r="D816" s="265">
        <f t="shared" si="161"/>
        <v>0</v>
      </c>
      <c r="E816" s="265">
        <f t="shared" ref="E816:H816" si="177">SUM(E817:E818)</f>
        <v>0</v>
      </c>
      <c r="F816" s="265">
        <f t="shared" si="177"/>
        <v>0</v>
      </c>
      <c r="G816" s="265">
        <f>VLOOKUP(A816,[1]√表四、2024年公共财政支出变动表!$A$7:$R$214,18,FALSE)</f>
        <v>0</v>
      </c>
      <c r="H816" s="265">
        <f t="shared" si="177"/>
        <v>0</v>
      </c>
      <c r="I816" s="265"/>
      <c r="J816" s="298">
        <f t="shared" si="175"/>
        <v>0</v>
      </c>
      <c r="K816" s="284" t="s">
        <v>1082</v>
      </c>
      <c r="L816" s="285"/>
      <c r="M816" s="263" t="s">
        <v>579</v>
      </c>
      <c r="N816" s="263" t="s">
        <v>571</v>
      </c>
      <c r="O816" s="263" t="s">
        <v>579</v>
      </c>
      <c r="P816" s="286" t="s">
        <v>2826</v>
      </c>
    </row>
    <row r="817" s="92" customFormat="1" ht="20.1" customHeight="1" spans="1:16">
      <c r="A817" s="157" t="s">
        <v>2827</v>
      </c>
      <c r="B817" s="36" t="s">
        <v>2828</v>
      </c>
      <c r="C817" s="267">
        <v>0</v>
      </c>
      <c r="D817" s="268">
        <f t="shared" si="161"/>
        <v>0</v>
      </c>
      <c r="E817" s="267"/>
      <c r="F817" s="267"/>
      <c r="G817" s="267"/>
      <c r="H817" s="267"/>
      <c r="I817" s="287"/>
      <c r="J817" s="288">
        <f t="shared" si="175"/>
        <v>0</v>
      </c>
      <c r="K817" s="276" t="s">
        <v>1087</v>
      </c>
      <c r="L817" s="33">
        <v>1</v>
      </c>
      <c r="M817" s="157" t="s">
        <v>2827</v>
      </c>
      <c r="N817" s="157"/>
      <c r="O817" s="157" t="s">
        <v>579</v>
      </c>
      <c r="P817" s="163" t="s">
        <v>2829</v>
      </c>
    </row>
    <row r="818" s="92" customFormat="1" ht="20.1" customHeight="1" spans="1:16">
      <c r="A818" s="157" t="s">
        <v>2830</v>
      </c>
      <c r="B818" s="36" t="s">
        <v>2831</v>
      </c>
      <c r="C818" s="267">
        <v>0</v>
      </c>
      <c r="D818" s="268">
        <f t="shared" si="161"/>
        <v>0</v>
      </c>
      <c r="E818" s="267"/>
      <c r="F818" s="267"/>
      <c r="G818" s="267"/>
      <c r="H818" s="267"/>
      <c r="I818" s="287"/>
      <c r="J818" s="288">
        <f t="shared" si="175"/>
        <v>0</v>
      </c>
      <c r="K818" s="276" t="s">
        <v>1087</v>
      </c>
      <c r="L818" s="33">
        <v>1</v>
      </c>
      <c r="M818" s="157" t="s">
        <v>2830</v>
      </c>
      <c r="N818" s="157"/>
      <c r="O818" s="157" t="s">
        <v>579</v>
      </c>
      <c r="P818" s="163" t="s">
        <v>2832</v>
      </c>
    </row>
    <row r="819" s="93" customFormat="1" ht="20.1" customHeight="1" spans="1:16">
      <c r="A819" s="263" t="s">
        <v>580</v>
      </c>
      <c r="B819" s="297" t="s">
        <v>343</v>
      </c>
      <c r="C819" s="265">
        <v>0</v>
      </c>
      <c r="D819" s="265">
        <f t="shared" si="161"/>
        <v>0</v>
      </c>
      <c r="E819" s="265">
        <f t="shared" ref="E819:H819" si="178">SUM(E820:E821)</f>
        <v>0</v>
      </c>
      <c r="F819" s="265">
        <f t="shared" si="178"/>
        <v>0</v>
      </c>
      <c r="G819" s="265">
        <f>VLOOKUP(A819,[1]√表四、2024年公共财政支出变动表!$A$7:$R$214,18,FALSE)</f>
        <v>0</v>
      </c>
      <c r="H819" s="265">
        <f t="shared" si="178"/>
        <v>0</v>
      </c>
      <c r="I819" s="265"/>
      <c r="J819" s="298">
        <f t="shared" si="175"/>
        <v>0</v>
      </c>
      <c r="K819" s="284" t="s">
        <v>1082</v>
      </c>
      <c r="L819" s="285"/>
      <c r="M819" s="263" t="s">
        <v>580</v>
      </c>
      <c r="N819" s="263" t="s">
        <v>571</v>
      </c>
      <c r="O819" s="263" t="s">
        <v>580</v>
      </c>
      <c r="P819" s="286" t="s">
        <v>2833</v>
      </c>
    </row>
    <row r="820" s="92" customFormat="1" ht="20.1" customHeight="1" spans="1:16">
      <c r="A820" s="157" t="s">
        <v>2834</v>
      </c>
      <c r="B820" s="36" t="s">
        <v>2835</v>
      </c>
      <c r="C820" s="267">
        <v>0</v>
      </c>
      <c r="D820" s="268">
        <f t="shared" si="161"/>
        <v>0</v>
      </c>
      <c r="E820" s="267"/>
      <c r="F820" s="267"/>
      <c r="G820" s="267"/>
      <c r="H820" s="267"/>
      <c r="I820" s="287"/>
      <c r="J820" s="288">
        <f t="shared" si="175"/>
        <v>0</v>
      </c>
      <c r="K820" s="276" t="s">
        <v>1087</v>
      </c>
      <c r="L820" s="33">
        <v>1</v>
      </c>
      <c r="M820" s="157" t="s">
        <v>2834</v>
      </c>
      <c r="N820" s="157"/>
      <c r="O820" s="157" t="s">
        <v>580</v>
      </c>
      <c r="P820" s="163" t="s">
        <v>2836</v>
      </c>
    </row>
    <row r="821" s="92" customFormat="1" ht="20.1" customHeight="1" spans="1:16">
      <c r="A821" s="157" t="s">
        <v>2837</v>
      </c>
      <c r="B821" s="36" t="s">
        <v>2838</v>
      </c>
      <c r="C821" s="267">
        <v>0</v>
      </c>
      <c r="D821" s="268">
        <f t="shared" si="161"/>
        <v>0</v>
      </c>
      <c r="E821" s="267"/>
      <c r="F821" s="267"/>
      <c r="G821" s="267"/>
      <c r="H821" s="267"/>
      <c r="I821" s="287"/>
      <c r="J821" s="288">
        <f t="shared" si="175"/>
        <v>0</v>
      </c>
      <c r="K821" s="276" t="s">
        <v>1087</v>
      </c>
      <c r="L821" s="33">
        <v>1</v>
      </c>
      <c r="M821" s="157" t="s">
        <v>2837</v>
      </c>
      <c r="N821" s="157"/>
      <c r="O821" s="157" t="s">
        <v>580</v>
      </c>
      <c r="P821" s="163" t="s">
        <v>2839</v>
      </c>
    </row>
    <row r="822" s="93" customFormat="1" ht="20.1" customHeight="1" spans="1:16">
      <c r="A822" s="263" t="s">
        <v>581</v>
      </c>
      <c r="B822" s="297" t="s">
        <v>344</v>
      </c>
      <c r="C822" s="265">
        <f t="shared" ref="C822:I822" si="179">C823</f>
        <v>0</v>
      </c>
      <c r="D822" s="265">
        <f t="shared" si="161"/>
        <v>0</v>
      </c>
      <c r="E822" s="265">
        <f t="shared" si="179"/>
        <v>0</v>
      </c>
      <c r="F822" s="265">
        <f t="shared" si="179"/>
        <v>0</v>
      </c>
      <c r="G822" s="265">
        <f t="shared" si="179"/>
        <v>0</v>
      </c>
      <c r="H822" s="265">
        <f t="shared" si="179"/>
        <v>0</v>
      </c>
      <c r="I822" s="265">
        <f t="shared" si="179"/>
        <v>0</v>
      </c>
      <c r="J822" s="298">
        <f t="shared" si="175"/>
        <v>0</v>
      </c>
      <c r="K822" s="284" t="s">
        <v>1082</v>
      </c>
      <c r="L822" s="285">
        <v>1</v>
      </c>
      <c r="M822" s="263" t="s">
        <v>581</v>
      </c>
      <c r="N822" s="263" t="s">
        <v>571</v>
      </c>
      <c r="O822" s="263" t="s">
        <v>581</v>
      </c>
      <c r="P822" s="286" t="s">
        <v>2840</v>
      </c>
    </row>
    <row r="823" s="92" customFormat="1" ht="20.1" customHeight="1" spans="1:16">
      <c r="A823" s="157" t="s">
        <v>2841</v>
      </c>
      <c r="B823" s="269" t="s">
        <v>2842</v>
      </c>
      <c r="C823" s="267"/>
      <c r="D823" s="267">
        <f t="shared" si="161"/>
        <v>0</v>
      </c>
      <c r="E823" s="267"/>
      <c r="F823" s="267"/>
      <c r="G823" s="267"/>
      <c r="H823" s="267"/>
      <c r="I823" s="267"/>
      <c r="J823" s="159"/>
      <c r="K823" s="276" t="s">
        <v>1087</v>
      </c>
      <c r="L823" s="33">
        <v>1</v>
      </c>
      <c r="M823" s="42">
        <v>2110901</v>
      </c>
      <c r="N823" s="157"/>
      <c r="O823" s="157" t="s">
        <v>581</v>
      </c>
      <c r="P823" s="163" t="s">
        <v>2840</v>
      </c>
    </row>
    <row r="824" s="93" customFormat="1" ht="20.1" customHeight="1" spans="1:16">
      <c r="A824" s="263" t="s">
        <v>582</v>
      </c>
      <c r="B824" s="297" t="s">
        <v>345</v>
      </c>
      <c r="C824" s="265">
        <f t="shared" ref="C824:I824" si="180">C825</f>
        <v>13</v>
      </c>
      <c r="D824" s="265">
        <f t="shared" si="161"/>
        <v>0</v>
      </c>
      <c r="E824" s="265">
        <f t="shared" si="180"/>
        <v>0</v>
      </c>
      <c r="F824" s="265">
        <f t="shared" si="180"/>
        <v>0</v>
      </c>
      <c r="G824" s="265">
        <f t="shared" si="180"/>
        <v>0</v>
      </c>
      <c r="H824" s="265">
        <f t="shared" si="180"/>
        <v>0</v>
      </c>
      <c r="I824" s="265">
        <f t="shared" si="180"/>
        <v>0</v>
      </c>
      <c r="J824" s="298">
        <f t="shared" ref="J824:J832" si="181">ROUND(IF(C824=0,IF(D824=0,0,1),IF(D824=0,-1,D824/C824)),4)*100</f>
        <v>-100</v>
      </c>
      <c r="K824" s="284" t="s">
        <v>1082</v>
      </c>
      <c r="L824" s="285">
        <v>1</v>
      </c>
      <c r="M824" s="263" t="s">
        <v>582</v>
      </c>
      <c r="N824" s="263" t="s">
        <v>571</v>
      </c>
      <c r="O824" s="263" t="s">
        <v>582</v>
      </c>
      <c r="P824" s="286" t="s">
        <v>2843</v>
      </c>
    </row>
    <row r="825" s="92" customFormat="1" ht="20.1" customHeight="1" spans="1:16">
      <c r="A825" s="157" t="s">
        <v>2844</v>
      </c>
      <c r="B825" s="269" t="s">
        <v>2845</v>
      </c>
      <c r="C825" s="267">
        <v>13</v>
      </c>
      <c r="D825" s="267">
        <f t="shared" ref="D825:D836" si="182">SUM(E825:I825)</f>
        <v>0</v>
      </c>
      <c r="E825" s="267"/>
      <c r="F825" s="267"/>
      <c r="G825" s="267"/>
      <c r="H825" s="267"/>
      <c r="I825" s="267"/>
      <c r="J825" s="159"/>
      <c r="K825" s="276" t="s">
        <v>1087</v>
      </c>
      <c r="L825" s="33">
        <v>1</v>
      </c>
      <c r="M825" s="172" t="s">
        <v>2844</v>
      </c>
      <c r="N825" s="157"/>
      <c r="O825" s="157" t="s">
        <v>582</v>
      </c>
      <c r="P825" s="163" t="s">
        <v>2843</v>
      </c>
    </row>
    <row r="826" s="93" customFormat="1" ht="20.1" customHeight="1" spans="1:16">
      <c r="A826" s="263" t="s">
        <v>583</v>
      </c>
      <c r="B826" s="297" t="s">
        <v>346</v>
      </c>
      <c r="C826" s="265">
        <v>0</v>
      </c>
      <c r="D826" s="265">
        <f t="shared" si="182"/>
        <v>100</v>
      </c>
      <c r="E826" s="265">
        <f t="shared" ref="E826:I826" si="183">SUM(E827:E831)</f>
        <v>0</v>
      </c>
      <c r="F826" s="265">
        <f t="shared" si="183"/>
        <v>0</v>
      </c>
      <c r="G826" s="265">
        <f t="shared" si="183"/>
        <v>0</v>
      </c>
      <c r="H826" s="265">
        <f t="shared" si="183"/>
        <v>0</v>
      </c>
      <c r="I826" s="265">
        <f t="shared" si="183"/>
        <v>100</v>
      </c>
      <c r="J826" s="298">
        <f t="shared" si="181"/>
        <v>100</v>
      </c>
      <c r="K826" s="284" t="s">
        <v>1082</v>
      </c>
      <c r="L826" s="285"/>
      <c r="M826" s="263" t="s">
        <v>583</v>
      </c>
      <c r="N826" s="263" t="s">
        <v>571</v>
      </c>
      <c r="O826" s="263" t="s">
        <v>583</v>
      </c>
      <c r="P826" s="286" t="s">
        <v>2846</v>
      </c>
    </row>
    <row r="827" s="92" customFormat="1" ht="20.1" customHeight="1" spans="1:16">
      <c r="A827" s="157" t="s">
        <v>2847</v>
      </c>
      <c r="B827" s="36" t="s">
        <v>2848</v>
      </c>
      <c r="C827" s="267">
        <v>0</v>
      </c>
      <c r="D827" s="268">
        <f t="shared" si="182"/>
        <v>100</v>
      </c>
      <c r="E827" s="267"/>
      <c r="F827" s="267"/>
      <c r="G827" s="267"/>
      <c r="H827" s="267"/>
      <c r="I827" s="287">
        <v>100</v>
      </c>
      <c r="J827" s="288">
        <f t="shared" si="181"/>
        <v>100</v>
      </c>
      <c r="K827" s="276" t="s">
        <v>1087</v>
      </c>
      <c r="L827" s="33">
        <v>1</v>
      </c>
      <c r="M827" s="157" t="s">
        <v>2847</v>
      </c>
      <c r="N827" s="157"/>
      <c r="O827" s="157" t="s">
        <v>583</v>
      </c>
      <c r="P827" s="164" t="s">
        <v>2849</v>
      </c>
    </row>
    <row r="828" s="92" customFormat="1" ht="20.1" customHeight="1" spans="1:16">
      <c r="A828" s="157" t="s">
        <v>2850</v>
      </c>
      <c r="B828" s="36" t="s">
        <v>2851</v>
      </c>
      <c r="C828" s="267">
        <v>0</v>
      </c>
      <c r="D828" s="268">
        <f t="shared" si="182"/>
        <v>0</v>
      </c>
      <c r="E828" s="267"/>
      <c r="F828" s="267"/>
      <c r="G828" s="267"/>
      <c r="H828" s="267"/>
      <c r="I828" s="287"/>
      <c r="J828" s="288">
        <f t="shared" si="181"/>
        <v>0</v>
      </c>
      <c r="K828" s="276" t="s">
        <v>1087</v>
      </c>
      <c r="L828" s="33">
        <v>1</v>
      </c>
      <c r="M828" s="157" t="s">
        <v>2850</v>
      </c>
      <c r="N828" s="157"/>
      <c r="O828" s="157" t="s">
        <v>583</v>
      </c>
      <c r="P828" s="164" t="s">
        <v>2852</v>
      </c>
    </row>
    <row r="829" s="92" customFormat="1" ht="20.1" customHeight="1" spans="1:16">
      <c r="A829" s="157" t="s">
        <v>2853</v>
      </c>
      <c r="B829" s="36" t="s">
        <v>2854</v>
      </c>
      <c r="C829" s="267">
        <v>0</v>
      </c>
      <c r="D829" s="268">
        <f t="shared" si="182"/>
        <v>0</v>
      </c>
      <c r="E829" s="267"/>
      <c r="F829" s="267"/>
      <c r="G829" s="267"/>
      <c r="H829" s="267"/>
      <c r="I829" s="287"/>
      <c r="J829" s="288">
        <f t="shared" si="181"/>
        <v>0</v>
      </c>
      <c r="K829" s="276" t="s">
        <v>1087</v>
      </c>
      <c r="L829" s="33">
        <v>1</v>
      </c>
      <c r="M829" s="157" t="s">
        <v>2853</v>
      </c>
      <c r="N829" s="157"/>
      <c r="O829" s="157" t="s">
        <v>583</v>
      </c>
      <c r="P829" s="163" t="s">
        <v>2855</v>
      </c>
    </row>
    <row r="830" s="92" customFormat="1" ht="20.1" customHeight="1" spans="1:16">
      <c r="A830" s="157" t="s">
        <v>2856</v>
      </c>
      <c r="B830" s="36" t="s">
        <v>2857</v>
      </c>
      <c r="C830" s="267">
        <v>0</v>
      </c>
      <c r="D830" s="268">
        <f t="shared" si="182"/>
        <v>0</v>
      </c>
      <c r="E830" s="267"/>
      <c r="F830" s="267"/>
      <c r="G830" s="267"/>
      <c r="H830" s="267"/>
      <c r="I830" s="287"/>
      <c r="J830" s="288">
        <f t="shared" si="181"/>
        <v>0</v>
      </c>
      <c r="K830" s="276" t="s">
        <v>1087</v>
      </c>
      <c r="L830" s="33">
        <v>1</v>
      </c>
      <c r="M830" s="157" t="s">
        <v>2856</v>
      </c>
      <c r="N830" s="157"/>
      <c r="O830" s="157" t="s">
        <v>583</v>
      </c>
      <c r="P830" s="163" t="s">
        <v>2858</v>
      </c>
    </row>
    <row r="831" s="92" customFormat="1" ht="20.1" customHeight="1" spans="1:16">
      <c r="A831" s="157" t="s">
        <v>2859</v>
      </c>
      <c r="B831" s="36" t="s">
        <v>2860</v>
      </c>
      <c r="C831" s="267">
        <v>0</v>
      </c>
      <c r="D831" s="268">
        <f t="shared" si="182"/>
        <v>0</v>
      </c>
      <c r="E831" s="267"/>
      <c r="F831" s="267"/>
      <c r="G831" s="267"/>
      <c r="H831" s="267"/>
      <c r="I831" s="287"/>
      <c r="J831" s="288">
        <f t="shared" si="181"/>
        <v>0</v>
      </c>
      <c r="K831" s="276" t="s">
        <v>1087</v>
      </c>
      <c r="L831" s="33">
        <v>1</v>
      </c>
      <c r="M831" s="157" t="s">
        <v>2859</v>
      </c>
      <c r="N831" s="157"/>
      <c r="O831" s="157" t="s">
        <v>583</v>
      </c>
      <c r="P831" s="163" t="s">
        <v>2861</v>
      </c>
    </row>
    <row r="832" s="93" customFormat="1" ht="20.1" customHeight="1" spans="1:16">
      <c r="A832" s="263" t="s">
        <v>584</v>
      </c>
      <c r="B832" s="297" t="s">
        <v>2862</v>
      </c>
      <c r="C832" s="265">
        <f t="shared" ref="C832:I832" si="184">SUM(C833:C834)</f>
        <v>20</v>
      </c>
      <c r="D832" s="265">
        <f t="shared" si="182"/>
        <v>240</v>
      </c>
      <c r="E832" s="265">
        <f t="shared" si="184"/>
        <v>0</v>
      </c>
      <c r="F832" s="265">
        <f t="shared" si="184"/>
        <v>0</v>
      </c>
      <c r="G832" s="265">
        <f t="shared" si="184"/>
        <v>240</v>
      </c>
      <c r="H832" s="265">
        <f t="shared" si="184"/>
        <v>0</v>
      </c>
      <c r="I832" s="265">
        <f t="shared" si="184"/>
        <v>0</v>
      </c>
      <c r="J832" s="298">
        <f t="shared" si="181"/>
        <v>1200</v>
      </c>
      <c r="K832" s="284" t="s">
        <v>1082</v>
      </c>
      <c r="L832" s="285">
        <v>1</v>
      </c>
      <c r="M832" s="263" t="s">
        <v>584</v>
      </c>
      <c r="N832" s="263" t="s">
        <v>571</v>
      </c>
      <c r="O832" s="263" t="s">
        <v>584</v>
      </c>
      <c r="P832" s="286" t="s">
        <v>2863</v>
      </c>
    </row>
    <row r="833" s="93" customFormat="1" ht="20.1" customHeight="1" spans="1:16">
      <c r="A833" s="157" t="s">
        <v>2864</v>
      </c>
      <c r="B833" s="36" t="s">
        <v>2865</v>
      </c>
      <c r="C833" s="268">
        <v>20</v>
      </c>
      <c r="D833" s="268">
        <f t="shared" si="182"/>
        <v>240</v>
      </c>
      <c r="E833" s="268"/>
      <c r="F833" s="268"/>
      <c r="G833" s="268">
        <v>240</v>
      </c>
      <c r="H833" s="268"/>
      <c r="I833" s="268"/>
      <c r="J833" s="308"/>
      <c r="K833" s="276" t="s">
        <v>1087</v>
      </c>
      <c r="L833" s="33">
        <v>1</v>
      </c>
      <c r="M833" s="157" t="s">
        <v>2864</v>
      </c>
      <c r="N833" s="294"/>
      <c r="O833" s="157" t="s">
        <v>584</v>
      </c>
      <c r="P833" s="36" t="s">
        <v>2863</v>
      </c>
    </row>
    <row r="834" s="92" customFormat="1" ht="20.1" customHeight="1" spans="1:16">
      <c r="A834" s="157" t="s">
        <v>2866</v>
      </c>
      <c r="B834" s="36" t="s">
        <v>2867</v>
      </c>
      <c r="C834" s="267">
        <v>0</v>
      </c>
      <c r="D834" s="268">
        <f t="shared" si="182"/>
        <v>0</v>
      </c>
      <c r="E834" s="267"/>
      <c r="F834" s="267"/>
      <c r="G834" s="267"/>
      <c r="H834" s="267"/>
      <c r="I834" s="287"/>
      <c r="J834" s="288"/>
      <c r="K834" s="276" t="s">
        <v>1087</v>
      </c>
      <c r="L834" s="33">
        <v>1</v>
      </c>
      <c r="M834" s="157" t="s">
        <v>2866</v>
      </c>
      <c r="N834" s="157"/>
      <c r="O834" s="157" t="s">
        <v>584</v>
      </c>
      <c r="P834" s="36" t="s">
        <v>2868</v>
      </c>
    </row>
    <row r="835" s="93" customFormat="1" ht="20.1" customHeight="1" spans="1:16">
      <c r="A835" s="263" t="s">
        <v>585</v>
      </c>
      <c r="B835" s="297" t="s">
        <v>348</v>
      </c>
      <c r="C835" s="265">
        <f t="shared" ref="C835:I835" si="185">C836</f>
        <v>0</v>
      </c>
      <c r="D835" s="265">
        <f t="shared" si="182"/>
        <v>0</v>
      </c>
      <c r="E835" s="265">
        <f t="shared" si="185"/>
        <v>0</v>
      </c>
      <c r="F835" s="265">
        <f t="shared" si="185"/>
        <v>0</v>
      </c>
      <c r="G835" s="265">
        <f t="shared" si="185"/>
        <v>0</v>
      </c>
      <c r="H835" s="265">
        <f t="shared" si="185"/>
        <v>0</v>
      </c>
      <c r="I835" s="265">
        <f t="shared" si="185"/>
        <v>0</v>
      </c>
      <c r="J835" s="298">
        <f t="shared" ref="J835:J848" si="186">ROUND(IF(C835=0,IF(D835=0,0,1),IF(D835=0,-1,D835/C835)),4)*100</f>
        <v>0</v>
      </c>
      <c r="K835" s="284" t="s">
        <v>1082</v>
      </c>
      <c r="L835" s="285">
        <v>1</v>
      </c>
      <c r="M835" s="263" t="s">
        <v>585</v>
      </c>
      <c r="N835" s="263" t="s">
        <v>571</v>
      </c>
      <c r="O835" s="263" t="s">
        <v>585</v>
      </c>
      <c r="P835" s="286" t="s">
        <v>2869</v>
      </c>
    </row>
    <row r="836" s="92" customFormat="1" ht="20.1" customHeight="1" spans="1:16">
      <c r="A836" s="157" t="s">
        <v>2870</v>
      </c>
      <c r="B836" s="269" t="s">
        <v>2871</v>
      </c>
      <c r="C836" s="267"/>
      <c r="D836" s="267">
        <f t="shared" si="182"/>
        <v>0</v>
      </c>
      <c r="E836" s="267"/>
      <c r="F836" s="267"/>
      <c r="G836" s="267"/>
      <c r="H836" s="267"/>
      <c r="I836" s="267"/>
      <c r="J836" s="159"/>
      <c r="K836" s="276" t="s">
        <v>1087</v>
      </c>
      <c r="L836" s="33">
        <v>1</v>
      </c>
      <c r="M836" s="157" t="s">
        <v>2870</v>
      </c>
      <c r="N836" s="157"/>
      <c r="O836" s="157" t="s">
        <v>585</v>
      </c>
      <c r="P836" s="163" t="s">
        <v>2869</v>
      </c>
    </row>
    <row r="837" s="93" customFormat="1" ht="20.1" customHeight="1" spans="1:16">
      <c r="A837" s="263" t="s">
        <v>586</v>
      </c>
      <c r="B837" s="297" t="s">
        <v>349</v>
      </c>
      <c r="C837" s="265">
        <f t="shared" ref="C837:I837" si="187">SUM(C838:C847)</f>
        <v>0</v>
      </c>
      <c r="D837" s="265">
        <f t="shared" si="187"/>
        <v>237</v>
      </c>
      <c r="E837" s="265">
        <f t="shared" si="187"/>
        <v>0</v>
      </c>
      <c r="F837" s="265">
        <f t="shared" si="187"/>
        <v>0</v>
      </c>
      <c r="G837" s="265">
        <f t="shared" si="187"/>
        <v>0</v>
      </c>
      <c r="H837" s="265">
        <f t="shared" si="187"/>
        <v>0</v>
      </c>
      <c r="I837" s="265">
        <f t="shared" si="187"/>
        <v>237</v>
      </c>
      <c r="J837" s="298">
        <f t="shared" si="186"/>
        <v>100</v>
      </c>
      <c r="K837" s="284" t="s">
        <v>1082</v>
      </c>
      <c r="L837" s="285"/>
      <c r="M837" s="263" t="s">
        <v>586</v>
      </c>
      <c r="N837" s="263" t="s">
        <v>571</v>
      </c>
      <c r="O837" s="263" t="s">
        <v>586</v>
      </c>
      <c r="P837" s="286" t="s">
        <v>2872</v>
      </c>
    </row>
    <row r="838" s="92" customFormat="1" ht="20.1" customHeight="1" spans="1:16">
      <c r="A838" s="157" t="s">
        <v>2873</v>
      </c>
      <c r="B838" s="36" t="s">
        <v>1086</v>
      </c>
      <c r="C838" s="267">
        <v>0</v>
      </c>
      <c r="D838" s="268">
        <f t="shared" ref="D838:D901" si="188">SUM(E838:I838)</f>
        <v>0</v>
      </c>
      <c r="E838" s="267"/>
      <c r="F838" s="267"/>
      <c r="G838" s="267"/>
      <c r="H838" s="267"/>
      <c r="I838" s="287"/>
      <c r="J838" s="288">
        <f t="shared" si="186"/>
        <v>0</v>
      </c>
      <c r="K838" s="276" t="s">
        <v>1087</v>
      </c>
      <c r="L838" s="33">
        <v>1</v>
      </c>
      <c r="M838" s="157" t="s">
        <v>2873</v>
      </c>
      <c r="N838" s="157"/>
      <c r="O838" s="157" t="s">
        <v>586</v>
      </c>
      <c r="P838" s="164" t="s">
        <v>1088</v>
      </c>
    </row>
    <row r="839" s="92" customFormat="1" ht="20.1" customHeight="1" spans="1:16">
      <c r="A839" s="157" t="s">
        <v>2874</v>
      </c>
      <c r="B839" s="36" t="s">
        <v>1090</v>
      </c>
      <c r="C839" s="267">
        <v>0</v>
      </c>
      <c r="D839" s="268">
        <f t="shared" si="188"/>
        <v>0</v>
      </c>
      <c r="E839" s="267"/>
      <c r="F839" s="267"/>
      <c r="G839" s="267"/>
      <c r="H839" s="267"/>
      <c r="I839" s="287"/>
      <c r="J839" s="288">
        <f t="shared" si="186"/>
        <v>0</v>
      </c>
      <c r="K839" s="276" t="s">
        <v>1087</v>
      </c>
      <c r="L839" s="33">
        <v>1</v>
      </c>
      <c r="M839" s="157" t="s">
        <v>2874</v>
      </c>
      <c r="N839" s="157"/>
      <c r="O839" s="157" t="s">
        <v>586</v>
      </c>
      <c r="P839" s="164" t="s">
        <v>1091</v>
      </c>
    </row>
    <row r="840" s="92" customFormat="1" ht="20.1" customHeight="1" spans="1:16">
      <c r="A840" s="157" t="s">
        <v>2875</v>
      </c>
      <c r="B840" s="36" t="s">
        <v>1093</v>
      </c>
      <c r="C840" s="267">
        <v>0</v>
      </c>
      <c r="D840" s="268">
        <f t="shared" si="188"/>
        <v>0</v>
      </c>
      <c r="E840" s="267"/>
      <c r="F840" s="267"/>
      <c r="G840" s="267"/>
      <c r="H840" s="267"/>
      <c r="I840" s="287"/>
      <c r="J840" s="288">
        <f t="shared" si="186"/>
        <v>0</v>
      </c>
      <c r="K840" s="276" t="s">
        <v>1087</v>
      </c>
      <c r="L840" s="33">
        <v>1</v>
      </c>
      <c r="M840" s="157" t="s">
        <v>2875</v>
      </c>
      <c r="N840" s="157"/>
      <c r="O840" s="157" t="s">
        <v>586</v>
      </c>
      <c r="P840" s="164" t="s">
        <v>1094</v>
      </c>
    </row>
    <row r="841" s="92" customFormat="1" ht="20.1" customHeight="1" spans="1:16">
      <c r="A841" s="157" t="s">
        <v>2876</v>
      </c>
      <c r="B841" s="36" t="s">
        <v>2877</v>
      </c>
      <c r="C841" s="267">
        <v>0</v>
      </c>
      <c r="D841" s="268">
        <f t="shared" si="188"/>
        <v>0</v>
      </c>
      <c r="E841" s="267"/>
      <c r="F841" s="267"/>
      <c r="G841" s="267"/>
      <c r="H841" s="267"/>
      <c r="I841" s="287"/>
      <c r="J841" s="288">
        <f t="shared" si="186"/>
        <v>0</v>
      </c>
      <c r="K841" s="276" t="s">
        <v>1087</v>
      </c>
      <c r="L841" s="33">
        <v>1</v>
      </c>
      <c r="M841" s="157" t="s">
        <v>2876</v>
      </c>
      <c r="N841" s="157"/>
      <c r="O841" s="157" t="s">
        <v>586</v>
      </c>
      <c r="P841" s="163" t="s">
        <v>2878</v>
      </c>
    </row>
    <row r="842" s="92" customFormat="1" ht="20.1" customHeight="1" spans="1:16">
      <c r="A842" s="157" t="s">
        <v>2879</v>
      </c>
      <c r="B842" s="36" t="s">
        <v>2880</v>
      </c>
      <c r="C842" s="267">
        <v>0</v>
      </c>
      <c r="D842" s="268">
        <f t="shared" si="188"/>
        <v>0</v>
      </c>
      <c r="E842" s="267"/>
      <c r="F842" s="267"/>
      <c r="G842" s="267"/>
      <c r="H842" s="267"/>
      <c r="I842" s="287"/>
      <c r="J842" s="288">
        <f t="shared" si="186"/>
        <v>0</v>
      </c>
      <c r="K842" s="276" t="s">
        <v>1087</v>
      </c>
      <c r="L842" s="33">
        <v>1</v>
      </c>
      <c r="M842" s="157" t="s">
        <v>2879</v>
      </c>
      <c r="N842" s="157"/>
      <c r="O842" s="157" t="s">
        <v>586</v>
      </c>
      <c r="P842" s="163" t="s">
        <v>2881</v>
      </c>
    </row>
    <row r="843" s="92" customFormat="1" ht="20.1" customHeight="1" spans="1:16">
      <c r="A843" s="157" t="s">
        <v>2882</v>
      </c>
      <c r="B843" s="36" t="s">
        <v>2883</v>
      </c>
      <c r="C843" s="267">
        <v>0</v>
      </c>
      <c r="D843" s="268">
        <f t="shared" si="188"/>
        <v>0</v>
      </c>
      <c r="E843" s="267"/>
      <c r="F843" s="267"/>
      <c r="G843" s="267"/>
      <c r="H843" s="267"/>
      <c r="I843" s="287"/>
      <c r="J843" s="288">
        <f t="shared" si="186"/>
        <v>0</v>
      </c>
      <c r="K843" s="276" t="s">
        <v>1087</v>
      </c>
      <c r="L843" s="33">
        <v>1</v>
      </c>
      <c r="M843" s="157" t="s">
        <v>2882</v>
      </c>
      <c r="N843" s="157"/>
      <c r="O843" s="157" t="s">
        <v>586</v>
      </c>
      <c r="P843" s="163" t="s">
        <v>2884</v>
      </c>
    </row>
    <row r="844" s="92" customFormat="1" ht="20.1" customHeight="1" spans="1:16">
      <c r="A844" s="157" t="s">
        <v>2885</v>
      </c>
      <c r="B844" s="36" t="s">
        <v>1217</v>
      </c>
      <c r="C844" s="267">
        <v>0</v>
      </c>
      <c r="D844" s="268">
        <f t="shared" si="188"/>
        <v>237</v>
      </c>
      <c r="E844" s="267"/>
      <c r="F844" s="267"/>
      <c r="G844" s="267"/>
      <c r="H844" s="267"/>
      <c r="I844" s="287">
        <v>237</v>
      </c>
      <c r="J844" s="288">
        <f t="shared" si="186"/>
        <v>100</v>
      </c>
      <c r="K844" s="276" t="s">
        <v>1087</v>
      </c>
      <c r="L844" s="33">
        <v>1</v>
      </c>
      <c r="M844" s="157" t="s">
        <v>2885</v>
      </c>
      <c r="N844" s="157"/>
      <c r="O844" s="157" t="s">
        <v>586</v>
      </c>
      <c r="P844" s="164" t="s">
        <v>1218</v>
      </c>
    </row>
    <row r="845" s="92" customFormat="1" ht="20.1" customHeight="1" spans="1:16">
      <c r="A845" s="157" t="s">
        <v>2886</v>
      </c>
      <c r="B845" s="36" t="s">
        <v>2887</v>
      </c>
      <c r="C845" s="267">
        <v>0</v>
      </c>
      <c r="D845" s="268">
        <f t="shared" si="188"/>
        <v>0</v>
      </c>
      <c r="E845" s="267"/>
      <c r="F845" s="267"/>
      <c r="G845" s="267"/>
      <c r="H845" s="267"/>
      <c r="I845" s="287"/>
      <c r="J845" s="288">
        <f t="shared" si="186"/>
        <v>0</v>
      </c>
      <c r="K845" s="276" t="s">
        <v>1087</v>
      </c>
      <c r="L845" s="33">
        <v>1</v>
      </c>
      <c r="M845" s="157" t="s">
        <v>2886</v>
      </c>
      <c r="N845" s="157"/>
      <c r="O845" s="157" t="s">
        <v>586</v>
      </c>
      <c r="P845" s="163" t="s">
        <v>2888</v>
      </c>
    </row>
    <row r="846" s="92" customFormat="1" ht="20.1" customHeight="1" spans="1:16">
      <c r="A846" s="157" t="s">
        <v>2889</v>
      </c>
      <c r="B846" s="36" t="s">
        <v>1114</v>
      </c>
      <c r="C846" s="267">
        <v>0</v>
      </c>
      <c r="D846" s="268">
        <f t="shared" si="188"/>
        <v>0</v>
      </c>
      <c r="E846" s="267"/>
      <c r="F846" s="267"/>
      <c r="G846" s="267"/>
      <c r="H846" s="267"/>
      <c r="I846" s="287"/>
      <c r="J846" s="288">
        <f t="shared" si="186"/>
        <v>0</v>
      </c>
      <c r="K846" s="276" t="s">
        <v>1087</v>
      </c>
      <c r="L846" s="33">
        <v>1</v>
      </c>
      <c r="M846" s="157" t="s">
        <v>2889</v>
      </c>
      <c r="N846" s="157"/>
      <c r="O846" s="157" t="s">
        <v>586</v>
      </c>
      <c r="P846" s="164" t="s">
        <v>1115</v>
      </c>
    </row>
    <row r="847" s="92" customFormat="1" ht="20.1" customHeight="1" spans="1:16">
      <c r="A847" s="157" t="s">
        <v>2890</v>
      </c>
      <c r="B847" s="36" t="s">
        <v>2891</v>
      </c>
      <c r="C847" s="267">
        <v>0</v>
      </c>
      <c r="D847" s="268">
        <f t="shared" si="188"/>
        <v>0</v>
      </c>
      <c r="E847" s="267"/>
      <c r="F847" s="267"/>
      <c r="G847" s="267"/>
      <c r="H847" s="267"/>
      <c r="I847" s="287"/>
      <c r="J847" s="288">
        <f t="shared" si="186"/>
        <v>0</v>
      </c>
      <c r="K847" s="276" t="s">
        <v>1087</v>
      </c>
      <c r="L847" s="33">
        <v>1</v>
      </c>
      <c r="M847" s="157" t="s">
        <v>2890</v>
      </c>
      <c r="N847" s="157"/>
      <c r="O847" s="157" t="s">
        <v>586</v>
      </c>
      <c r="P847" s="163" t="s">
        <v>2892</v>
      </c>
    </row>
    <row r="848" s="93" customFormat="1" ht="20.1" customHeight="1" spans="1:16">
      <c r="A848" s="263" t="s">
        <v>587</v>
      </c>
      <c r="B848" s="297" t="s">
        <v>350</v>
      </c>
      <c r="C848" s="265">
        <f t="shared" ref="C848:I848" si="189">C849</f>
        <v>0</v>
      </c>
      <c r="D848" s="265">
        <f t="shared" si="188"/>
        <v>0</v>
      </c>
      <c r="E848" s="265">
        <f t="shared" si="189"/>
        <v>0</v>
      </c>
      <c r="F848" s="265">
        <f t="shared" si="189"/>
        <v>0</v>
      </c>
      <c r="G848" s="265">
        <f t="shared" si="189"/>
        <v>0</v>
      </c>
      <c r="H848" s="265">
        <f t="shared" si="189"/>
        <v>0</v>
      </c>
      <c r="I848" s="265">
        <f t="shared" si="189"/>
        <v>0</v>
      </c>
      <c r="J848" s="298">
        <f t="shared" si="186"/>
        <v>0</v>
      </c>
      <c r="K848" s="284" t="s">
        <v>1082</v>
      </c>
      <c r="L848" s="285">
        <v>1</v>
      </c>
      <c r="M848" s="263" t="s">
        <v>587</v>
      </c>
      <c r="N848" s="263" t="s">
        <v>571</v>
      </c>
      <c r="O848" s="263" t="s">
        <v>587</v>
      </c>
      <c r="P848" s="286" t="s">
        <v>2893</v>
      </c>
    </row>
    <row r="849" s="92" customFormat="1" ht="20.1" customHeight="1" spans="1:16">
      <c r="A849" s="157" t="s">
        <v>2894</v>
      </c>
      <c r="B849" s="269" t="s">
        <v>2895</v>
      </c>
      <c r="C849" s="267"/>
      <c r="D849" s="267">
        <f t="shared" si="188"/>
        <v>0</v>
      </c>
      <c r="E849" s="267"/>
      <c r="F849" s="267"/>
      <c r="G849" s="267"/>
      <c r="H849" s="267"/>
      <c r="I849" s="267"/>
      <c r="J849" s="159"/>
      <c r="K849" s="276" t="s">
        <v>1087</v>
      </c>
      <c r="L849" s="33">
        <v>1</v>
      </c>
      <c r="M849" s="157" t="s">
        <v>2894</v>
      </c>
      <c r="N849" s="157"/>
      <c r="O849" s="157" t="s">
        <v>587</v>
      </c>
      <c r="P849" s="163" t="s">
        <v>2893</v>
      </c>
    </row>
    <row r="850" s="93" customFormat="1" ht="20.1" customHeight="1" spans="1:16">
      <c r="A850" s="154" t="s">
        <v>588</v>
      </c>
      <c r="B850" s="261" t="s">
        <v>351</v>
      </c>
      <c r="C850" s="262">
        <f t="shared" ref="C850:I850" si="190">C851+C862+C864+C867+C869+C871</f>
        <v>3662</v>
      </c>
      <c r="D850" s="262">
        <f t="shared" si="188"/>
        <v>5427</v>
      </c>
      <c r="E850" s="262">
        <f t="shared" si="190"/>
        <v>903</v>
      </c>
      <c r="F850" s="262">
        <f t="shared" si="190"/>
        <v>0</v>
      </c>
      <c r="G850" s="262">
        <f t="shared" si="190"/>
        <v>2018</v>
      </c>
      <c r="H850" s="262">
        <f t="shared" si="190"/>
        <v>0</v>
      </c>
      <c r="I850" s="262">
        <f t="shared" si="190"/>
        <v>2506</v>
      </c>
      <c r="J850" s="279">
        <f t="shared" ref="J850:J862" si="191">ROUND(IF(C850=0,IF(D850=0,0,1),IF(D850=0,-1,D850/C850)),4)*100</f>
        <v>148.2</v>
      </c>
      <c r="K850" s="280" t="s">
        <v>1081</v>
      </c>
      <c r="L850" s="281"/>
      <c r="M850" s="154" t="s">
        <v>588</v>
      </c>
      <c r="N850" s="154" t="s">
        <v>588</v>
      </c>
      <c r="O850" s="154" t="s">
        <v>588</v>
      </c>
      <c r="P850" s="282" t="s">
        <v>2896</v>
      </c>
    </row>
    <row r="851" s="93" customFormat="1" ht="20.1" customHeight="1" spans="1:16">
      <c r="A851" s="263" t="s">
        <v>589</v>
      </c>
      <c r="B851" s="297" t="s">
        <v>2897</v>
      </c>
      <c r="C851" s="265">
        <f t="shared" ref="C851:I851" si="192">SUM(C852:C861)</f>
        <v>2381</v>
      </c>
      <c r="D851" s="265">
        <f t="shared" si="188"/>
        <v>2180</v>
      </c>
      <c r="E851" s="265">
        <f t="shared" si="192"/>
        <v>0</v>
      </c>
      <c r="F851" s="265">
        <f t="shared" si="192"/>
        <v>0</v>
      </c>
      <c r="G851" s="265">
        <f t="shared" si="192"/>
        <v>0</v>
      </c>
      <c r="H851" s="265">
        <f t="shared" si="192"/>
        <v>0</v>
      </c>
      <c r="I851" s="265">
        <f t="shared" si="192"/>
        <v>2180</v>
      </c>
      <c r="J851" s="298">
        <f t="shared" si="191"/>
        <v>91.56</v>
      </c>
      <c r="K851" s="284" t="s">
        <v>1082</v>
      </c>
      <c r="L851" s="285"/>
      <c r="M851" s="263" t="s">
        <v>589</v>
      </c>
      <c r="N851" s="263" t="s">
        <v>588</v>
      </c>
      <c r="O851" s="263" t="s">
        <v>589</v>
      </c>
      <c r="P851" s="286" t="s">
        <v>2898</v>
      </c>
    </row>
    <row r="852" s="92" customFormat="1" ht="20.1" customHeight="1" spans="1:16">
      <c r="A852" s="157" t="s">
        <v>2899</v>
      </c>
      <c r="B852" s="36" t="s">
        <v>1086</v>
      </c>
      <c r="C852" s="267">
        <v>383</v>
      </c>
      <c r="D852" s="268">
        <f t="shared" si="188"/>
        <v>346</v>
      </c>
      <c r="E852" s="267"/>
      <c r="F852" s="267"/>
      <c r="G852" s="267"/>
      <c r="H852" s="267"/>
      <c r="I852" s="287">
        <v>346</v>
      </c>
      <c r="J852" s="288">
        <f t="shared" si="191"/>
        <v>90.34</v>
      </c>
      <c r="K852" s="276" t="s">
        <v>1087</v>
      </c>
      <c r="L852" s="33">
        <v>1</v>
      </c>
      <c r="M852" s="157" t="s">
        <v>2899</v>
      </c>
      <c r="N852" s="157"/>
      <c r="O852" s="157" t="s">
        <v>589</v>
      </c>
      <c r="P852" s="164" t="s">
        <v>1088</v>
      </c>
    </row>
    <row r="853" s="92" customFormat="1" ht="20.1" customHeight="1" spans="1:16">
      <c r="A853" s="157" t="s">
        <v>2900</v>
      </c>
      <c r="B853" s="36" t="s">
        <v>1090</v>
      </c>
      <c r="C853" s="267"/>
      <c r="D853" s="268">
        <f t="shared" si="188"/>
        <v>0</v>
      </c>
      <c r="E853" s="267"/>
      <c r="F853" s="267"/>
      <c r="G853" s="267"/>
      <c r="H853" s="267"/>
      <c r="I853" s="287"/>
      <c r="J853" s="288">
        <f t="shared" si="191"/>
        <v>0</v>
      </c>
      <c r="K853" s="276" t="s">
        <v>1087</v>
      </c>
      <c r="L853" s="33">
        <v>1</v>
      </c>
      <c r="M853" s="157" t="s">
        <v>2900</v>
      </c>
      <c r="N853" s="157"/>
      <c r="O853" s="157" t="s">
        <v>589</v>
      </c>
      <c r="P853" s="164" t="s">
        <v>1091</v>
      </c>
    </row>
    <row r="854" s="92" customFormat="1" ht="20.1" customHeight="1" spans="1:16">
      <c r="A854" s="157" t="s">
        <v>2901</v>
      </c>
      <c r="B854" s="36" t="s">
        <v>1093</v>
      </c>
      <c r="C854" s="267"/>
      <c r="D854" s="268">
        <f t="shared" si="188"/>
        <v>0</v>
      </c>
      <c r="E854" s="267"/>
      <c r="F854" s="267"/>
      <c r="G854" s="267"/>
      <c r="H854" s="267"/>
      <c r="I854" s="287"/>
      <c r="J854" s="288">
        <f t="shared" si="191"/>
        <v>0</v>
      </c>
      <c r="K854" s="276" t="s">
        <v>1087</v>
      </c>
      <c r="L854" s="33">
        <v>1</v>
      </c>
      <c r="M854" s="157" t="s">
        <v>2901</v>
      </c>
      <c r="N854" s="157"/>
      <c r="O854" s="157" t="s">
        <v>589</v>
      </c>
      <c r="P854" s="164" t="s">
        <v>1094</v>
      </c>
    </row>
    <row r="855" s="92" customFormat="1" ht="20.1" customHeight="1" spans="1:16">
      <c r="A855" s="157" t="s">
        <v>2902</v>
      </c>
      <c r="B855" s="36" t="s">
        <v>2903</v>
      </c>
      <c r="C855" s="267">
        <v>604</v>
      </c>
      <c r="D855" s="268">
        <f t="shared" si="188"/>
        <v>645</v>
      </c>
      <c r="E855" s="267"/>
      <c r="F855" s="267"/>
      <c r="G855" s="267"/>
      <c r="H855" s="267"/>
      <c r="I855" s="287">
        <v>645</v>
      </c>
      <c r="J855" s="288">
        <f t="shared" si="191"/>
        <v>106.79</v>
      </c>
      <c r="K855" s="276" t="s">
        <v>1087</v>
      </c>
      <c r="L855" s="33">
        <v>1</v>
      </c>
      <c r="M855" s="157" t="s">
        <v>2902</v>
      </c>
      <c r="N855" s="157"/>
      <c r="O855" s="157" t="s">
        <v>589</v>
      </c>
      <c r="P855" s="163" t="s">
        <v>2904</v>
      </c>
    </row>
    <row r="856" s="92" customFormat="1" ht="20.1" customHeight="1" spans="1:16">
      <c r="A856" s="157" t="s">
        <v>2905</v>
      </c>
      <c r="B856" s="36" t="s">
        <v>2906</v>
      </c>
      <c r="C856" s="267"/>
      <c r="D856" s="268">
        <f t="shared" si="188"/>
        <v>0</v>
      </c>
      <c r="E856" s="267"/>
      <c r="F856" s="267"/>
      <c r="G856" s="267"/>
      <c r="H856" s="267"/>
      <c r="I856" s="287"/>
      <c r="J856" s="288">
        <f t="shared" si="191"/>
        <v>0</v>
      </c>
      <c r="K856" s="276" t="s">
        <v>1087</v>
      </c>
      <c r="L856" s="33">
        <v>1</v>
      </c>
      <c r="M856" s="157" t="s">
        <v>2905</v>
      </c>
      <c r="N856" s="157"/>
      <c r="O856" s="157" t="s">
        <v>589</v>
      </c>
      <c r="P856" s="163" t="s">
        <v>2907</v>
      </c>
    </row>
    <row r="857" s="92" customFormat="1" ht="20.1" customHeight="1" spans="1:16">
      <c r="A857" s="157" t="s">
        <v>2908</v>
      </c>
      <c r="B857" s="36" t="s">
        <v>2909</v>
      </c>
      <c r="C857" s="267"/>
      <c r="D857" s="268">
        <f t="shared" si="188"/>
        <v>0</v>
      </c>
      <c r="E857" s="267"/>
      <c r="F857" s="267"/>
      <c r="G857" s="267"/>
      <c r="H857" s="267"/>
      <c r="I857" s="287"/>
      <c r="J857" s="288">
        <f t="shared" si="191"/>
        <v>0</v>
      </c>
      <c r="K857" s="276" t="s">
        <v>1087</v>
      </c>
      <c r="L857" s="33">
        <v>1</v>
      </c>
      <c r="M857" s="157" t="s">
        <v>2908</v>
      </c>
      <c r="N857" s="157"/>
      <c r="O857" s="157" t="s">
        <v>589</v>
      </c>
      <c r="P857" s="163" t="s">
        <v>2910</v>
      </c>
    </row>
    <row r="858" s="92" customFormat="1" ht="20.1" customHeight="1" spans="1:16">
      <c r="A858" s="157" t="s">
        <v>2911</v>
      </c>
      <c r="B858" s="36" t="s">
        <v>2912</v>
      </c>
      <c r="C858" s="267"/>
      <c r="D858" s="268">
        <f t="shared" si="188"/>
        <v>0</v>
      </c>
      <c r="E858" s="267"/>
      <c r="F858" s="267"/>
      <c r="G858" s="267"/>
      <c r="H858" s="267"/>
      <c r="I858" s="287"/>
      <c r="J858" s="288">
        <f t="shared" si="191"/>
        <v>0</v>
      </c>
      <c r="K858" s="276" t="s">
        <v>1087</v>
      </c>
      <c r="L858" s="33">
        <v>1</v>
      </c>
      <c r="M858" s="157" t="s">
        <v>2911</v>
      </c>
      <c r="N858" s="157"/>
      <c r="O858" s="157" t="s">
        <v>589</v>
      </c>
      <c r="P858" s="163" t="s">
        <v>2913</v>
      </c>
    </row>
    <row r="859" s="92" customFormat="1" ht="20.1" customHeight="1" spans="1:16">
      <c r="A859" s="157" t="s">
        <v>2914</v>
      </c>
      <c r="B859" s="36" t="s">
        <v>2915</v>
      </c>
      <c r="C859" s="267"/>
      <c r="D859" s="268">
        <f t="shared" si="188"/>
        <v>0</v>
      </c>
      <c r="E859" s="267"/>
      <c r="F859" s="267"/>
      <c r="G859" s="267"/>
      <c r="H859" s="267"/>
      <c r="I859" s="287"/>
      <c r="J859" s="288">
        <f t="shared" si="191"/>
        <v>0</v>
      </c>
      <c r="K859" s="276" t="s">
        <v>1087</v>
      </c>
      <c r="L859" s="33">
        <v>1</v>
      </c>
      <c r="M859" s="157" t="s">
        <v>2914</v>
      </c>
      <c r="N859" s="157"/>
      <c r="O859" s="157" t="s">
        <v>589</v>
      </c>
      <c r="P859" s="163" t="s">
        <v>2916</v>
      </c>
    </row>
    <row r="860" s="92" customFormat="1" ht="20.1" customHeight="1" spans="1:16">
      <c r="A860" s="157" t="s">
        <v>2917</v>
      </c>
      <c r="B860" s="36" t="s">
        <v>2918</v>
      </c>
      <c r="C860" s="267"/>
      <c r="D860" s="268">
        <f t="shared" si="188"/>
        <v>0</v>
      </c>
      <c r="E860" s="267"/>
      <c r="F860" s="267"/>
      <c r="G860" s="267"/>
      <c r="H860" s="267"/>
      <c r="I860" s="287"/>
      <c r="J860" s="288">
        <f t="shared" si="191"/>
        <v>0</v>
      </c>
      <c r="K860" s="276" t="s">
        <v>1087</v>
      </c>
      <c r="L860" s="33">
        <v>1</v>
      </c>
      <c r="M860" s="157" t="s">
        <v>2917</v>
      </c>
      <c r="N860" s="157"/>
      <c r="O860" s="157" t="s">
        <v>589</v>
      </c>
      <c r="P860" s="163" t="s">
        <v>2919</v>
      </c>
    </row>
    <row r="861" s="92" customFormat="1" ht="20.1" customHeight="1" spans="1:16">
      <c r="A861" s="157" t="s">
        <v>2920</v>
      </c>
      <c r="B861" s="36" t="s">
        <v>2921</v>
      </c>
      <c r="C861" s="267">
        <v>1394</v>
      </c>
      <c r="D861" s="268">
        <f t="shared" si="188"/>
        <v>1189</v>
      </c>
      <c r="E861" s="267"/>
      <c r="F861" s="267"/>
      <c r="G861" s="267"/>
      <c r="H861" s="267"/>
      <c r="I861" s="287">
        <v>1189</v>
      </c>
      <c r="J861" s="288">
        <f t="shared" si="191"/>
        <v>85.29</v>
      </c>
      <c r="K861" s="276" t="s">
        <v>1087</v>
      </c>
      <c r="L861" s="33">
        <v>1</v>
      </c>
      <c r="M861" s="157" t="s">
        <v>2920</v>
      </c>
      <c r="N861" s="157"/>
      <c r="O861" s="157" t="s">
        <v>589</v>
      </c>
      <c r="P861" s="163" t="s">
        <v>2922</v>
      </c>
    </row>
    <row r="862" s="93" customFormat="1" ht="20.1" customHeight="1" spans="1:16">
      <c r="A862" s="263" t="s">
        <v>590</v>
      </c>
      <c r="B862" s="297" t="s">
        <v>2923</v>
      </c>
      <c r="C862" s="265">
        <f t="shared" ref="C862:I862" si="193">C863</f>
        <v>0</v>
      </c>
      <c r="D862" s="265">
        <f t="shared" si="188"/>
        <v>0</v>
      </c>
      <c r="E862" s="265">
        <f t="shared" si="193"/>
        <v>0</v>
      </c>
      <c r="F862" s="265">
        <f t="shared" si="193"/>
        <v>0</v>
      </c>
      <c r="G862" s="265">
        <f t="shared" si="193"/>
        <v>0</v>
      </c>
      <c r="H862" s="265">
        <f t="shared" si="193"/>
        <v>0</v>
      </c>
      <c r="I862" s="265">
        <f t="shared" si="193"/>
        <v>0</v>
      </c>
      <c r="J862" s="298">
        <f t="shared" si="191"/>
        <v>0</v>
      </c>
      <c r="K862" s="284" t="s">
        <v>1082</v>
      </c>
      <c r="L862" s="285"/>
      <c r="M862" s="263" t="s">
        <v>590</v>
      </c>
      <c r="N862" s="263" t="s">
        <v>588</v>
      </c>
      <c r="O862" s="263" t="s">
        <v>590</v>
      </c>
      <c r="P862" s="286" t="s">
        <v>2924</v>
      </c>
    </row>
    <row r="863" s="92" customFormat="1" ht="20.1" customHeight="1" spans="1:16">
      <c r="A863" s="157" t="s">
        <v>2925</v>
      </c>
      <c r="B863" s="269" t="s">
        <v>353</v>
      </c>
      <c r="C863" s="267"/>
      <c r="D863" s="267">
        <f t="shared" si="188"/>
        <v>0</v>
      </c>
      <c r="E863" s="267"/>
      <c r="F863" s="267"/>
      <c r="G863" s="267"/>
      <c r="H863" s="267"/>
      <c r="I863" s="267"/>
      <c r="J863" s="159"/>
      <c r="K863" s="276" t="s">
        <v>1087</v>
      </c>
      <c r="L863" s="33">
        <v>1</v>
      </c>
      <c r="M863" s="157" t="s">
        <v>2925</v>
      </c>
      <c r="N863" s="157"/>
      <c r="O863" s="157" t="s">
        <v>590</v>
      </c>
      <c r="P863" s="163" t="s">
        <v>2924</v>
      </c>
    </row>
    <row r="864" s="93" customFormat="1" ht="20.1" customHeight="1" spans="1:16">
      <c r="A864" s="263" t="s">
        <v>591</v>
      </c>
      <c r="B864" s="297" t="s">
        <v>2926</v>
      </c>
      <c r="C864" s="265">
        <f t="shared" ref="C864:I864" si="194">SUM(C865:C866)</f>
        <v>926</v>
      </c>
      <c r="D864" s="265">
        <f t="shared" si="188"/>
        <v>3011</v>
      </c>
      <c r="E864" s="265">
        <f t="shared" si="194"/>
        <v>903</v>
      </c>
      <c r="F864" s="265">
        <f t="shared" si="194"/>
        <v>0</v>
      </c>
      <c r="G864" s="265">
        <f t="shared" si="194"/>
        <v>2018</v>
      </c>
      <c r="H864" s="265">
        <f t="shared" si="194"/>
        <v>0</v>
      </c>
      <c r="I864" s="265">
        <f t="shared" si="194"/>
        <v>90</v>
      </c>
      <c r="J864" s="298">
        <f t="shared" ref="J864:J867" si="195">ROUND(IF(C864=0,IF(D864=0,0,1),IF(D864=0,-1,D864/C864)),4)*100</f>
        <v>325.16</v>
      </c>
      <c r="K864" s="284" t="s">
        <v>1082</v>
      </c>
      <c r="L864" s="285"/>
      <c r="M864" s="263" t="s">
        <v>591</v>
      </c>
      <c r="N864" s="263" t="s">
        <v>588</v>
      </c>
      <c r="O864" s="263" t="s">
        <v>591</v>
      </c>
      <c r="P864" s="286" t="s">
        <v>2927</v>
      </c>
    </row>
    <row r="865" s="92" customFormat="1" ht="20.1" customHeight="1" spans="1:16">
      <c r="A865" s="157" t="s">
        <v>2928</v>
      </c>
      <c r="B865" s="36" t="s">
        <v>2929</v>
      </c>
      <c r="C865" s="267"/>
      <c r="D865" s="268">
        <f t="shared" si="188"/>
        <v>699</v>
      </c>
      <c r="E865" s="267"/>
      <c r="F865" s="267"/>
      <c r="G865" s="267">
        <v>699</v>
      </c>
      <c r="H865" s="267"/>
      <c r="I865" s="287"/>
      <c r="J865" s="288">
        <f t="shared" si="195"/>
        <v>100</v>
      </c>
      <c r="K865" s="276" t="s">
        <v>1087</v>
      </c>
      <c r="L865" s="33">
        <v>1</v>
      </c>
      <c r="M865" s="157" t="s">
        <v>2928</v>
      </c>
      <c r="N865" s="157"/>
      <c r="O865" s="157" t="s">
        <v>591</v>
      </c>
      <c r="P865" s="163" t="s">
        <v>2930</v>
      </c>
    </row>
    <row r="866" s="92" customFormat="1" ht="20.1" customHeight="1" spans="1:16">
      <c r="A866" s="157" t="s">
        <v>2931</v>
      </c>
      <c r="B866" s="36" t="s">
        <v>2932</v>
      </c>
      <c r="C866" s="267">
        <v>926</v>
      </c>
      <c r="D866" s="268">
        <f t="shared" si="188"/>
        <v>2312</v>
      </c>
      <c r="E866" s="267">
        <v>903</v>
      </c>
      <c r="F866" s="267"/>
      <c r="G866" s="267">
        <v>1319</v>
      </c>
      <c r="H866" s="267"/>
      <c r="I866" s="287">
        <v>90</v>
      </c>
      <c r="J866" s="288">
        <f t="shared" si="195"/>
        <v>249.68</v>
      </c>
      <c r="K866" s="276" t="s">
        <v>1087</v>
      </c>
      <c r="L866" s="33">
        <v>1</v>
      </c>
      <c r="M866" s="157" t="s">
        <v>2931</v>
      </c>
      <c r="N866" s="157"/>
      <c r="O866" s="157" t="s">
        <v>591</v>
      </c>
      <c r="P866" s="163" t="s">
        <v>2933</v>
      </c>
    </row>
    <row r="867" s="93" customFormat="1" ht="20.1" customHeight="1" spans="1:16">
      <c r="A867" s="263" t="s">
        <v>592</v>
      </c>
      <c r="B867" s="297" t="s">
        <v>2934</v>
      </c>
      <c r="C867" s="265">
        <f t="shared" ref="C867:I867" si="196">SUM(C868)</f>
        <v>100</v>
      </c>
      <c r="D867" s="265">
        <f t="shared" si="188"/>
        <v>32</v>
      </c>
      <c r="E867" s="265">
        <f t="shared" si="196"/>
        <v>0</v>
      </c>
      <c r="F867" s="265">
        <f t="shared" si="196"/>
        <v>0</v>
      </c>
      <c r="G867" s="265">
        <f t="shared" si="196"/>
        <v>0</v>
      </c>
      <c r="H867" s="265">
        <f t="shared" si="196"/>
        <v>0</v>
      </c>
      <c r="I867" s="265">
        <f t="shared" si="196"/>
        <v>32</v>
      </c>
      <c r="J867" s="298">
        <f t="shared" si="195"/>
        <v>32</v>
      </c>
      <c r="K867" s="284" t="s">
        <v>1082</v>
      </c>
      <c r="L867" s="285"/>
      <c r="M867" s="263" t="s">
        <v>592</v>
      </c>
      <c r="N867" s="263" t="s">
        <v>588</v>
      </c>
      <c r="O867" s="263" t="s">
        <v>592</v>
      </c>
      <c r="P867" s="286" t="s">
        <v>2935</v>
      </c>
    </row>
    <row r="868" s="92" customFormat="1" ht="20.1" customHeight="1" spans="1:16">
      <c r="A868" s="157" t="s">
        <v>2936</v>
      </c>
      <c r="B868" s="36" t="s">
        <v>355</v>
      </c>
      <c r="C868" s="267">
        <v>100</v>
      </c>
      <c r="D868" s="268">
        <f t="shared" si="188"/>
        <v>32</v>
      </c>
      <c r="E868" s="267"/>
      <c r="F868" s="267"/>
      <c r="G868" s="267"/>
      <c r="H868" s="267"/>
      <c r="I868" s="287">
        <v>32</v>
      </c>
      <c r="J868" s="288"/>
      <c r="K868" s="276" t="s">
        <v>1087</v>
      </c>
      <c r="L868" s="33">
        <v>1</v>
      </c>
      <c r="M868" s="157" t="s">
        <v>2936</v>
      </c>
      <c r="N868" s="157"/>
      <c r="O868" s="157" t="s">
        <v>592</v>
      </c>
      <c r="P868" s="163" t="s">
        <v>2935</v>
      </c>
    </row>
    <row r="869" s="93" customFormat="1" ht="20.1" customHeight="1" spans="1:16">
      <c r="A869" s="263" t="s">
        <v>593</v>
      </c>
      <c r="B869" s="297" t="s">
        <v>2937</v>
      </c>
      <c r="C869" s="265">
        <f t="shared" ref="C869:I869" si="197">C870</f>
        <v>0</v>
      </c>
      <c r="D869" s="265">
        <f t="shared" si="188"/>
        <v>0</v>
      </c>
      <c r="E869" s="265">
        <f t="shared" si="197"/>
        <v>0</v>
      </c>
      <c r="F869" s="265">
        <f t="shared" si="197"/>
        <v>0</v>
      </c>
      <c r="G869" s="265">
        <f t="shared" si="197"/>
        <v>0</v>
      </c>
      <c r="H869" s="265">
        <f t="shared" si="197"/>
        <v>0</v>
      </c>
      <c r="I869" s="265">
        <f t="shared" si="197"/>
        <v>0</v>
      </c>
      <c r="J869" s="298">
        <f t="shared" ref="J869:J897" si="198">ROUND(IF(C869=0,IF(D869=0,0,1),IF(D869=0,-1,D869/C869)),4)*100</f>
        <v>0</v>
      </c>
      <c r="K869" s="284" t="s">
        <v>1082</v>
      </c>
      <c r="L869" s="285"/>
      <c r="M869" s="263" t="s">
        <v>593</v>
      </c>
      <c r="N869" s="263" t="s">
        <v>588</v>
      </c>
      <c r="O869" s="263" t="s">
        <v>593</v>
      </c>
      <c r="P869" s="286" t="s">
        <v>2938</v>
      </c>
    </row>
    <row r="870" s="92" customFormat="1" ht="20.1" customHeight="1" spans="1:16">
      <c r="A870" s="157" t="s">
        <v>2939</v>
      </c>
      <c r="B870" s="36" t="s">
        <v>356</v>
      </c>
      <c r="C870" s="267"/>
      <c r="D870" s="268">
        <f t="shared" si="188"/>
        <v>0</v>
      </c>
      <c r="E870" s="267"/>
      <c r="F870" s="267"/>
      <c r="G870" s="267"/>
      <c r="H870" s="267"/>
      <c r="I870" s="287"/>
      <c r="J870" s="288"/>
      <c r="K870" s="276" t="s">
        <v>1087</v>
      </c>
      <c r="L870" s="33">
        <v>1</v>
      </c>
      <c r="M870" s="157" t="s">
        <v>2939</v>
      </c>
      <c r="N870" s="157"/>
      <c r="O870" s="157" t="s">
        <v>593</v>
      </c>
      <c r="P870" s="163" t="s">
        <v>2938</v>
      </c>
    </row>
    <row r="871" s="93" customFormat="1" ht="20.1" customHeight="1" spans="1:16">
      <c r="A871" s="263" t="s">
        <v>594</v>
      </c>
      <c r="B871" s="297" t="s">
        <v>2940</v>
      </c>
      <c r="C871" s="265">
        <f t="shared" ref="C871:I871" si="199">SUM(C872)</f>
        <v>255</v>
      </c>
      <c r="D871" s="265">
        <f t="shared" si="188"/>
        <v>204</v>
      </c>
      <c r="E871" s="265">
        <f t="shared" si="199"/>
        <v>0</v>
      </c>
      <c r="F871" s="265">
        <f t="shared" si="199"/>
        <v>0</v>
      </c>
      <c r="G871" s="265">
        <f t="shared" si="199"/>
        <v>0</v>
      </c>
      <c r="H871" s="265">
        <f t="shared" si="199"/>
        <v>0</v>
      </c>
      <c r="I871" s="265">
        <f t="shared" si="199"/>
        <v>204</v>
      </c>
      <c r="J871" s="298">
        <f t="shared" si="198"/>
        <v>80</v>
      </c>
      <c r="K871" s="284" t="s">
        <v>1082</v>
      </c>
      <c r="L871" s="285"/>
      <c r="M871" s="263" t="s">
        <v>594</v>
      </c>
      <c r="N871" s="263" t="s">
        <v>588</v>
      </c>
      <c r="O871" s="263" t="s">
        <v>594</v>
      </c>
      <c r="P871" s="286" t="s">
        <v>2941</v>
      </c>
    </row>
    <row r="872" s="92" customFormat="1" ht="20.1" customHeight="1" spans="1:16">
      <c r="A872" s="157" t="s">
        <v>2942</v>
      </c>
      <c r="B872" s="36" t="s">
        <v>357</v>
      </c>
      <c r="C872" s="267">
        <v>255</v>
      </c>
      <c r="D872" s="268">
        <f t="shared" si="188"/>
        <v>204</v>
      </c>
      <c r="E872" s="267"/>
      <c r="F872" s="267"/>
      <c r="G872" s="267"/>
      <c r="H872" s="267"/>
      <c r="I872" s="287">
        <v>204</v>
      </c>
      <c r="J872" s="288"/>
      <c r="K872" s="276" t="s">
        <v>1087</v>
      </c>
      <c r="L872" s="33">
        <v>1</v>
      </c>
      <c r="M872" s="157" t="s">
        <v>2942</v>
      </c>
      <c r="N872" s="157"/>
      <c r="O872" s="157" t="s">
        <v>594</v>
      </c>
      <c r="P872" s="163" t="s">
        <v>2941</v>
      </c>
    </row>
    <row r="873" s="93" customFormat="1" ht="20.1" customHeight="1" spans="1:16">
      <c r="A873" s="154" t="s">
        <v>595</v>
      </c>
      <c r="B873" s="261" t="s">
        <v>358</v>
      </c>
      <c r="C873" s="262">
        <f t="shared" ref="C873:I873" si="200">C874+C900+C923+C951+C962+C968+C974+C977</f>
        <v>110919</v>
      </c>
      <c r="D873" s="262">
        <f t="shared" si="188"/>
        <v>109607</v>
      </c>
      <c r="E873" s="262">
        <f t="shared" si="200"/>
        <v>40800</v>
      </c>
      <c r="F873" s="262">
        <f t="shared" si="200"/>
        <v>1120</v>
      </c>
      <c r="G873" s="262">
        <f t="shared" si="200"/>
        <v>51161</v>
      </c>
      <c r="H873" s="262">
        <f t="shared" si="200"/>
        <v>907</v>
      </c>
      <c r="I873" s="262">
        <f t="shared" si="200"/>
        <v>15619</v>
      </c>
      <c r="J873" s="279">
        <f t="shared" si="198"/>
        <v>98.82</v>
      </c>
      <c r="K873" s="280" t="s">
        <v>1081</v>
      </c>
      <c r="L873" s="281"/>
      <c r="M873" s="154" t="s">
        <v>595</v>
      </c>
      <c r="N873" s="154" t="s">
        <v>595</v>
      </c>
      <c r="O873" s="154" t="s">
        <v>595</v>
      </c>
      <c r="P873" s="282" t="s">
        <v>2943</v>
      </c>
    </row>
    <row r="874" s="93" customFormat="1" ht="20.1" customHeight="1" spans="1:16">
      <c r="A874" s="263" t="s">
        <v>596</v>
      </c>
      <c r="B874" s="297" t="s">
        <v>2944</v>
      </c>
      <c r="C874" s="265">
        <f t="shared" ref="C874:I874" si="201">SUM(C875:C899)</f>
        <v>9919</v>
      </c>
      <c r="D874" s="265">
        <f t="shared" si="188"/>
        <v>16907</v>
      </c>
      <c r="E874" s="265">
        <f t="shared" si="201"/>
        <v>2797</v>
      </c>
      <c r="F874" s="265">
        <f t="shared" si="201"/>
        <v>303</v>
      </c>
      <c r="G874" s="265">
        <f t="shared" si="201"/>
        <v>9768</v>
      </c>
      <c r="H874" s="265">
        <f t="shared" si="201"/>
        <v>0</v>
      </c>
      <c r="I874" s="265">
        <f t="shared" si="201"/>
        <v>4039</v>
      </c>
      <c r="J874" s="298">
        <f t="shared" si="198"/>
        <v>170.45</v>
      </c>
      <c r="K874" s="284" t="s">
        <v>1082</v>
      </c>
      <c r="L874" s="285"/>
      <c r="M874" s="263" t="s">
        <v>596</v>
      </c>
      <c r="N874" s="263" t="s">
        <v>595</v>
      </c>
      <c r="O874" s="263" t="s">
        <v>596</v>
      </c>
      <c r="P874" s="286" t="s">
        <v>2945</v>
      </c>
    </row>
    <row r="875" s="92" customFormat="1" ht="20.1" customHeight="1" spans="1:16">
      <c r="A875" s="157" t="s">
        <v>2946</v>
      </c>
      <c r="B875" s="36" t="s">
        <v>1086</v>
      </c>
      <c r="C875" s="267">
        <v>368</v>
      </c>
      <c r="D875" s="268">
        <f t="shared" si="188"/>
        <v>419</v>
      </c>
      <c r="E875" s="267"/>
      <c r="F875" s="267"/>
      <c r="G875" s="267"/>
      <c r="H875" s="267"/>
      <c r="I875" s="287">
        <v>419</v>
      </c>
      <c r="J875" s="288">
        <f t="shared" si="198"/>
        <v>113.86</v>
      </c>
      <c r="K875" s="276" t="s">
        <v>1087</v>
      </c>
      <c r="L875" s="33">
        <v>1</v>
      </c>
      <c r="M875" s="157" t="s">
        <v>2946</v>
      </c>
      <c r="N875" s="157"/>
      <c r="O875" s="157" t="s">
        <v>596</v>
      </c>
      <c r="P875" s="164" t="s">
        <v>1088</v>
      </c>
    </row>
    <row r="876" s="92" customFormat="1" ht="20.1" customHeight="1" spans="1:16">
      <c r="A876" s="157" t="s">
        <v>2947</v>
      </c>
      <c r="B876" s="36" t="s">
        <v>1090</v>
      </c>
      <c r="C876" s="267">
        <v>368</v>
      </c>
      <c r="D876" s="268">
        <f t="shared" si="188"/>
        <v>367</v>
      </c>
      <c r="E876" s="267"/>
      <c r="F876" s="267"/>
      <c r="G876" s="267"/>
      <c r="H876" s="267"/>
      <c r="I876" s="287">
        <v>367</v>
      </c>
      <c r="J876" s="288">
        <f t="shared" si="198"/>
        <v>99.73</v>
      </c>
      <c r="K876" s="276" t="s">
        <v>1087</v>
      </c>
      <c r="L876" s="33">
        <v>1</v>
      </c>
      <c r="M876" s="157" t="s">
        <v>2947</v>
      </c>
      <c r="N876" s="157"/>
      <c r="O876" s="157" t="s">
        <v>596</v>
      </c>
      <c r="P876" s="164" t="s">
        <v>1091</v>
      </c>
    </row>
    <row r="877" s="92" customFormat="1" ht="20.1" customHeight="1" spans="1:16">
      <c r="A877" s="157" t="s">
        <v>2948</v>
      </c>
      <c r="B877" s="36" t="s">
        <v>1093</v>
      </c>
      <c r="C877" s="267"/>
      <c r="D877" s="268">
        <f t="shared" si="188"/>
        <v>0</v>
      </c>
      <c r="E877" s="267"/>
      <c r="F877" s="267"/>
      <c r="G877" s="267"/>
      <c r="H877" s="267"/>
      <c r="I877" s="287"/>
      <c r="J877" s="288">
        <f t="shared" si="198"/>
        <v>0</v>
      </c>
      <c r="K877" s="276" t="s">
        <v>1087</v>
      </c>
      <c r="L877" s="33">
        <v>1</v>
      </c>
      <c r="M877" s="157" t="s">
        <v>2948</v>
      </c>
      <c r="N877" s="157"/>
      <c r="O877" s="157" t="s">
        <v>596</v>
      </c>
      <c r="P877" s="164" t="s">
        <v>1094</v>
      </c>
    </row>
    <row r="878" s="92" customFormat="1" ht="20.1" customHeight="1" spans="1:16">
      <c r="A878" s="157" t="s">
        <v>2949</v>
      </c>
      <c r="B878" s="36" t="s">
        <v>1114</v>
      </c>
      <c r="C878" s="267">
        <v>2057</v>
      </c>
      <c r="D878" s="268">
        <f t="shared" si="188"/>
        <v>2899</v>
      </c>
      <c r="E878" s="267"/>
      <c r="F878" s="267"/>
      <c r="G878" s="267"/>
      <c r="H878" s="267"/>
      <c r="I878" s="287">
        <v>2899</v>
      </c>
      <c r="J878" s="288">
        <f t="shared" si="198"/>
        <v>140.93</v>
      </c>
      <c r="K878" s="276" t="s">
        <v>1087</v>
      </c>
      <c r="L878" s="33">
        <v>1</v>
      </c>
      <c r="M878" s="157" t="s">
        <v>2949</v>
      </c>
      <c r="N878" s="157"/>
      <c r="O878" s="157" t="s">
        <v>596</v>
      </c>
      <c r="P878" s="164" t="s">
        <v>1115</v>
      </c>
    </row>
    <row r="879" s="92" customFormat="1" ht="20.1" customHeight="1" spans="1:16">
      <c r="A879" s="157" t="s">
        <v>2950</v>
      </c>
      <c r="B879" s="36" t="s">
        <v>2951</v>
      </c>
      <c r="C879" s="267"/>
      <c r="D879" s="268">
        <f t="shared" si="188"/>
        <v>0</v>
      </c>
      <c r="E879" s="267"/>
      <c r="F879" s="267"/>
      <c r="G879" s="267"/>
      <c r="H879" s="267"/>
      <c r="I879" s="287"/>
      <c r="J879" s="288">
        <f t="shared" si="198"/>
        <v>0</v>
      </c>
      <c r="K879" s="276" t="s">
        <v>1087</v>
      </c>
      <c r="L879" s="33">
        <v>1</v>
      </c>
      <c r="M879" s="157" t="s">
        <v>2950</v>
      </c>
      <c r="N879" s="157"/>
      <c r="O879" s="157" t="s">
        <v>596</v>
      </c>
      <c r="P879" s="163" t="s">
        <v>2952</v>
      </c>
    </row>
    <row r="880" s="92" customFormat="1" ht="20.1" customHeight="1" spans="1:16">
      <c r="A880" s="157" t="s">
        <v>2953</v>
      </c>
      <c r="B880" s="36" t="s">
        <v>2954</v>
      </c>
      <c r="C880" s="267">
        <v>153</v>
      </c>
      <c r="D880" s="268">
        <f t="shared" si="188"/>
        <v>513</v>
      </c>
      <c r="E880" s="267">
        <v>309</v>
      </c>
      <c r="F880" s="267"/>
      <c r="G880" s="267">
        <v>204</v>
      </c>
      <c r="H880" s="267"/>
      <c r="I880" s="287"/>
      <c r="J880" s="288">
        <f t="shared" si="198"/>
        <v>335.29</v>
      </c>
      <c r="K880" s="276" t="s">
        <v>1087</v>
      </c>
      <c r="L880" s="33">
        <v>1</v>
      </c>
      <c r="M880" s="157" t="s">
        <v>2953</v>
      </c>
      <c r="N880" s="157"/>
      <c r="O880" s="157" t="s">
        <v>596</v>
      </c>
      <c r="P880" s="163" t="s">
        <v>2955</v>
      </c>
    </row>
    <row r="881" s="92" customFormat="1" ht="20.1" customHeight="1" spans="1:16">
      <c r="A881" s="157" t="s">
        <v>2956</v>
      </c>
      <c r="B881" s="36" t="s">
        <v>2957</v>
      </c>
      <c r="C881" s="267">
        <v>106</v>
      </c>
      <c r="D881" s="268">
        <f t="shared" si="188"/>
        <v>243</v>
      </c>
      <c r="E881" s="267">
        <v>34</v>
      </c>
      <c r="F881" s="267">
        <v>42</v>
      </c>
      <c r="G881" s="267">
        <v>166</v>
      </c>
      <c r="H881" s="267"/>
      <c r="I881" s="287">
        <v>1</v>
      </c>
      <c r="J881" s="288">
        <f t="shared" si="198"/>
        <v>229.25</v>
      </c>
      <c r="K881" s="276" t="s">
        <v>1087</v>
      </c>
      <c r="L881" s="33">
        <v>1</v>
      </c>
      <c r="M881" s="157" t="s">
        <v>2956</v>
      </c>
      <c r="N881" s="157"/>
      <c r="O881" s="157" t="s">
        <v>596</v>
      </c>
      <c r="P881" s="163" t="s">
        <v>2958</v>
      </c>
    </row>
    <row r="882" s="92" customFormat="1" ht="20.1" customHeight="1" spans="1:16">
      <c r="A882" s="157" t="s">
        <v>2959</v>
      </c>
      <c r="B882" s="36" t="s">
        <v>2960</v>
      </c>
      <c r="C882" s="267">
        <v>18</v>
      </c>
      <c r="D882" s="268">
        <f t="shared" si="188"/>
        <v>75</v>
      </c>
      <c r="E882" s="267"/>
      <c r="F882" s="267">
        <v>15</v>
      </c>
      <c r="G882" s="267">
        <v>60</v>
      </c>
      <c r="H882" s="267"/>
      <c r="I882" s="287"/>
      <c r="J882" s="288">
        <f t="shared" si="198"/>
        <v>416.67</v>
      </c>
      <c r="K882" s="276" t="s">
        <v>1087</v>
      </c>
      <c r="L882" s="33">
        <v>1</v>
      </c>
      <c r="M882" s="157" t="s">
        <v>2959</v>
      </c>
      <c r="N882" s="157"/>
      <c r="O882" s="157" t="s">
        <v>596</v>
      </c>
      <c r="P882" s="163" t="s">
        <v>2961</v>
      </c>
    </row>
    <row r="883" s="92" customFormat="1" ht="20.1" customHeight="1" spans="1:16">
      <c r="A883" s="157" t="s">
        <v>2962</v>
      </c>
      <c r="B883" s="36" t="s">
        <v>2963</v>
      </c>
      <c r="C883" s="267"/>
      <c r="D883" s="268">
        <f t="shared" si="188"/>
        <v>0</v>
      </c>
      <c r="E883" s="267"/>
      <c r="F883" s="267"/>
      <c r="G883" s="267"/>
      <c r="H883" s="267"/>
      <c r="I883" s="287"/>
      <c r="J883" s="288">
        <f t="shared" si="198"/>
        <v>0</v>
      </c>
      <c r="K883" s="276" t="s">
        <v>1087</v>
      </c>
      <c r="L883" s="33">
        <v>1</v>
      </c>
      <c r="M883" s="157" t="s">
        <v>2962</v>
      </c>
      <c r="N883" s="157"/>
      <c r="O883" s="157" t="s">
        <v>596</v>
      </c>
      <c r="P883" s="163" t="s">
        <v>2964</v>
      </c>
    </row>
    <row r="884" s="92" customFormat="1" ht="20.1" customHeight="1" spans="1:16">
      <c r="A884" s="157" t="s">
        <v>2965</v>
      </c>
      <c r="B884" s="36" t="s">
        <v>2966</v>
      </c>
      <c r="C884" s="267"/>
      <c r="D884" s="268">
        <f t="shared" si="188"/>
        <v>5</v>
      </c>
      <c r="E884" s="267"/>
      <c r="F884" s="267">
        <v>1</v>
      </c>
      <c r="G884" s="267">
        <v>4</v>
      </c>
      <c r="H884" s="267"/>
      <c r="I884" s="287"/>
      <c r="J884" s="288">
        <f t="shared" si="198"/>
        <v>100</v>
      </c>
      <c r="K884" s="276" t="s">
        <v>1087</v>
      </c>
      <c r="L884" s="33">
        <v>1</v>
      </c>
      <c r="M884" s="157" t="s">
        <v>2965</v>
      </c>
      <c r="N884" s="157"/>
      <c r="O884" s="157" t="s">
        <v>596</v>
      </c>
      <c r="P884" s="163" t="s">
        <v>2967</v>
      </c>
    </row>
    <row r="885" s="92" customFormat="1" ht="20.1" customHeight="1" spans="1:16">
      <c r="A885" s="157" t="s">
        <v>2968</v>
      </c>
      <c r="B885" s="36" t="s">
        <v>2969</v>
      </c>
      <c r="C885" s="267"/>
      <c r="D885" s="268">
        <f t="shared" si="188"/>
        <v>0</v>
      </c>
      <c r="E885" s="267"/>
      <c r="F885" s="267"/>
      <c r="G885" s="267"/>
      <c r="H885" s="267"/>
      <c r="I885" s="287"/>
      <c r="J885" s="288">
        <f t="shared" si="198"/>
        <v>0</v>
      </c>
      <c r="K885" s="276" t="s">
        <v>1087</v>
      </c>
      <c r="L885" s="33">
        <v>1</v>
      </c>
      <c r="M885" s="157" t="s">
        <v>2968</v>
      </c>
      <c r="N885" s="157"/>
      <c r="O885" s="157" t="s">
        <v>596</v>
      </c>
      <c r="P885" s="163" t="s">
        <v>2970</v>
      </c>
    </row>
    <row r="886" s="92" customFormat="1" ht="20.1" customHeight="1" spans="1:16">
      <c r="A886" s="157" t="s">
        <v>2971</v>
      </c>
      <c r="B886" s="36" t="s">
        <v>2972</v>
      </c>
      <c r="C886" s="267"/>
      <c r="D886" s="268">
        <f t="shared" si="188"/>
        <v>100</v>
      </c>
      <c r="E886" s="267"/>
      <c r="F886" s="267"/>
      <c r="G886" s="267">
        <v>100</v>
      </c>
      <c r="H886" s="267"/>
      <c r="I886" s="287"/>
      <c r="J886" s="288">
        <f t="shared" si="198"/>
        <v>100</v>
      </c>
      <c r="K886" s="276" t="s">
        <v>1087</v>
      </c>
      <c r="L886" s="33">
        <v>1</v>
      </c>
      <c r="M886" s="157" t="s">
        <v>2971</v>
      </c>
      <c r="N886" s="157"/>
      <c r="O886" s="157" t="s">
        <v>596</v>
      </c>
      <c r="P886" s="163" t="s">
        <v>2973</v>
      </c>
    </row>
    <row r="887" s="92" customFormat="1" ht="20.1" customHeight="1" spans="1:16">
      <c r="A887" s="157" t="s">
        <v>2974</v>
      </c>
      <c r="B887" s="36" t="s">
        <v>2975</v>
      </c>
      <c r="C887" s="267"/>
      <c r="D887" s="268">
        <f t="shared" si="188"/>
        <v>30</v>
      </c>
      <c r="E887" s="267"/>
      <c r="F887" s="267"/>
      <c r="G887" s="267">
        <v>30</v>
      </c>
      <c r="H887" s="267"/>
      <c r="I887" s="287"/>
      <c r="J887" s="288">
        <f t="shared" si="198"/>
        <v>100</v>
      </c>
      <c r="K887" s="276" t="s">
        <v>1087</v>
      </c>
      <c r="L887" s="33">
        <v>1</v>
      </c>
      <c r="M887" s="157" t="s">
        <v>2974</v>
      </c>
      <c r="N887" s="157"/>
      <c r="O887" s="157" t="s">
        <v>596</v>
      </c>
      <c r="P887" s="163" t="s">
        <v>2976</v>
      </c>
    </row>
    <row r="888" s="92" customFormat="1" ht="20.1" customHeight="1" spans="1:16">
      <c r="A888" s="157" t="s">
        <v>2977</v>
      </c>
      <c r="B888" s="36" t="s">
        <v>2978</v>
      </c>
      <c r="C888" s="267">
        <v>2</v>
      </c>
      <c r="D888" s="268">
        <f t="shared" si="188"/>
        <v>1395</v>
      </c>
      <c r="E888" s="267">
        <v>1395</v>
      </c>
      <c r="F888" s="267"/>
      <c r="G888" s="267"/>
      <c r="H888" s="267"/>
      <c r="I888" s="287"/>
      <c r="J888" s="288">
        <f t="shared" si="198"/>
        <v>69750</v>
      </c>
      <c r="K888" s="276" t="s">
        <v>1087</v>
      </c>
      <c r="L888" s="33">
        <v>1</v>
      </c>
      <c r="M888" s="157" t="s">
        <v>2977</v>
      </c>
      <c r="N888" s="157"/>
      <c r="O888" s="157" t="s">
        <v>596</v>
      </c>
      <c r="P888" s="163" t="s">
        <v>2979</v>
      </c>
    </row>
    <row r="889" s="92" customFormat="1" ht="20.1" customHeight="1" spans="1:16">
      <c r="A889" s="157" t="s">
        <v>2980</v>
      </c>
      <c r="B889" s="36" t="s">
        <v>2981</v>
      </c>
      <c r="C889" s="267">
        <v>17</v>
      </c>
      <c r="D889" s="268">
        <f t="shared" si="188"/>
        <v>0</v>
      </c>
      <c r="E889" s="267"/>
      <c r="F889" s="267"/>
      <c r="G889" s="267"/>
      <c r="H889" s="267"/>
      <c r="I889" s="287"/>
      <c r="J889" s="288">
        <f t="shared" si="198"/>
        <v>-100</v>
      </c>
      <c r="K889" s="276" t="s">
        <v>1087</v>
      </c>
      <c r="L889" s="33">
        <v>1</v>
      </c>
      <c r="M889" s="157" t="s">
        <v>2980</v>
      </c>
      <c r="N889" s="157"/>
      <c r="O889" s="157" t="s">
        <v>596</v>
      </c>
      <c r="P889" s="163" t="s">
        <v>2982</v>
      </c>
    </row>
    <row r="890" s="92" customFormat="1" ht="20.1" customHeight="1" spans="1:16">
      <c r="A890" s="157" t="s">
        <v>2983</v>
      </c>
      <c r="B890" s="36" t="s">
        <v>2984</v>
      </c>
      <c r="C890" s="267">
        <v>1977</v>
      </c>
      <c r="D890" s="268">
        <f t="shared" si="188"/>
        <v>1472</v>
      </c>
      <c r="E890" s="267">
        <v>10</v>
      </c>
      <c r="F890" s="267">
        <v>100</v>
      </c>
      <c r="G890" s="267">
        <v>1338</v>
      </c>
      <c r="H890" s="267"/>
      <c r="I890" s="287">
        <v>24</v>
      </c>
      <c r="J890" s="288">
        <f t="shared" si="198"/>
        <v>74.46</v>
      </c>
      <c r="K890" s="276" t="s">
        <v>1087</v>
      </c>
      <c r="L890" s="33">
        <v>1</v>
      </c>
      <c r="M890" s="157" t="s">
        <v>2983</v>
      </c>
      <c r="N890" s="157"/>
      <c r="O890" s="157" t="s">
        <v>596</v>
      </c>
      <c r="P890" s="36" t="s">
        <v>2985</v>
      </c>
    </row>
    <row r="891" s="92" customFormat="1" ht="20.1" customHeight="1" spans="1:16">
      <c r="A891" s="157" t="s">
        <v>2986</v>
      </c>
      <c r="B891" s="36" t="s">
        <v>2987</v>
      </c>
      <c r="C891" s="267">
        <v>6</v>
      </c>
      <c r="D891" s="268">
        <f t="shared" si="188"/>
        <v>115</v>
      </c>
      <c r="E891" s="267"/>
      <c r="F891" s="267">
        <v>101</v>
      </c>
      <c r="G891" s="267">
        <v>14</v>
      </c>
      <c r="H891" s="267"/>
      <c r="I891" s="287"/>
      <c r="J891" s="288">
        <f t="shared" si="198"/>
        <v>1916.67</v>
      </c>
      <c r="K891" s="276" t="s">
        <v>1087</v>
      </c>
      <c r="L891" s="33">
        <v>1</v>
      </c>
      <c r="M891" s="157" t="s">
        <v>2986</v>
      </c>
      <c r="N891" s="157"/>
      <c r="O891" s="157" t="s">
        <v>596</v>
      </c>
      <c r="P891" s="36" t="s">
        <v>2988</v>
      </c>
    </row>
    <row r="892" s="92" customFormat="1" ht="20.1" customHeight="1" spans="1:16">
      <c r="A892" s="157" t="s">
        <v>2989</v>
      </c>
      <c r="B892" s="36" t="s">
        <v>2990</v>
      </c>
      <c r="C892" s="267"/>
      <c r="D892" s="268">
        <f t="shared" si="188"/>
        <v>167</v>
      </c>
      <c r="E892" s="267"/>
      <c r="F892" s="267"/>
      <c r="G892" s="267">
        <v>167</v>
      </c>
      <c r="H892" s="267"/>
      <c r="I892" s="287"/>
      <c r="J892" s="288">
        <f t="shared" si="198"/>
        <v>100</v>
      </c>
      <c r="K892" s="276" t="s">
        <v>1087</v>
      </c>
      <c r="L892" s="33">
        <v>1</v>
      </c>
      <c r="M892" s="157" t="s">
        <v>2989</v>
      </c>
      <c r="N892" s="157"/>
      <c r="O892" s="157" t="s">
        <v>596</v>
      </c>
      <c r="P892" s="163" t="s">
        <v>2991</v>
      </c>
    </row>
    <row r="893" s="92" customFormat="1" ht="20.1" customHeight="1" spans="1:16">
      <c r="A893" s="157" t="s">
        <v>2992</v>
      </c>
      <c r="B893" s="36" t="s">
        <v>2993</v>
      </c>
      <c r="C893" s="267">
        <v>231</v>
      </c>
      <c r="D893" s="268">
        <f t="shared" si="188"/>
        <v>309</v>
      </c>
      <c r="E893" s="267"/>
      <c r="F893" s="267">
        <v>4</v>
      </c>
      <c r="G893" s="267"/>
      <c r="H893" s="267"/>
      <c r="I893" s="287">
        <v>305</v>
      </c>
      <c r="J893" s="288">
        <f t="shared" si="198"/>
        <v>133.77</v>
      </c>
      <c r="K893" s="276" t="s">
        <v>1087</v>
      </c>
      <c r="L893" s="33">
        <v>1</v>
      </c>
      <c r="M893" s="157" t="s">
        <v>2992</v>
      </c>
      <c r="N893" s="157"/>
      <c r="O893" s="157" t="s">
        <v>596</v>
      </c>
      <c r="P893" s="163" t="s">
        <v>2994</v>
      </c>
    </row>
    <row r="894" s="92" customFormat="1" ht="20.1" customHeight="1" spans="1:16">
      <c r="A894" s="157" t="s">
        <v>2995</v>
      </c>
      <c r="B894" s="36" t="s">
        <v>2996</v>
      </c>
      <c r="C894" s="267">
        <v>23</v>
      </c>
      <c r="D894" s="268">
        <f t="shared" si="188"/>
        <v>83</v>
      </c>
      <c r="E894" s="267"/>
      <c r="F894" s="267">
        <v>40</v>
      </c>
      <c r="G894" s="267">
        <v>43</v>
      </c>
      <c r="H894" s="267"/>
      <c r="I894" s="287"/>
      <c r="J894" s="288">
        <f t="shared" si="198"/>
        <v>360.87</v>
      </c>
      <c r="K894" s="276" t="s">
        <v>1087</v>
      </c>
      <c r="L894" s="33">
        <v>1</v>
      </c>
      <c r="M894" s="157" t="s">
        <v>2995</v>
      </c>
      <c r="N894" s="157"/>
      <c r="O894" s="157" t="s">
        <v>596</v>
      </c>
      <c r="P894" s="36" t="s">
        <v>2997</v>
      </c>
    </row>
    <row r="895" s="92" customFormat="1" ht="20.1" customHeight="1" spans="1:16">
      <c r="A895" s="157" t="s">
        <v>2998</v>
      </c>
      <c r="B895" s="36" t="s">
        <v>2999</v>
      </c>
      <c r="C895" s="267"/>
      <c r="D895" s="268">
        <f t="shared" si="188"/>
        <v>0</v>
      </c>
      <c r="E895" s="267"/>
      <c r="F895" s="267"/>
      <c r="G895" s="267"/>
      <c r="H895" s="267"/>
      <c r="I895" s="287"/>
      <c r="J895" s="288">
        <f t="shared" si="198"/>
        <v>0</v>
      </c>
      <c r="K895" s="276" t="s">
        <v>1087</v>
      </c>
      <c r="L895" s="33">
        <v>1</v>
      </c>
      <c r="M895" s="157" t="s">
        <v>2998</v>
      </c>
      <c r="N895" s="157"/>
      <c r="O895" s="157" t="s">
        <v>596</v>
      </c>
      <c r="P895" s="163" t="s">
        <v>3000</v>
      </c>
    </row>
    <row r="896" s="92" customFormat="1" ht="20.1" customHeight="1" spans="1:16">
      <c r="A896" s="157" t="s">
        <v>3001</v>
      </c>
      <c r="B896" s="36" t="s">
        <v>3002</v>
      </c>
      <c r="C896" s="267">
        <v>15</v>
      </c>
      <c r="D896" s="268">
        <f t="shared" si="188"/>
        <v>25</v>
      </c>
      <c r="E896" s="267">
        <v>25</v>
      </c>
      <c r="F896" s="267"/>
      <c r="G896" s="267"/>
      <c r="H896" s="267"/>
      <c r="I896" s="287"/>
      <c r="J896" s="288">
        <f t="shared" si="198"/>
        <v>166.67</v>
      </c>
      <c r="K896" s="276" t="s">
        <v>1087</v>
      </c>
      <c r="L896" s="33">
        <v>1</v>
      </c>
      <c r="M896" s="157" t="s">
        <v>3001</v>
      </c>
      <c r="N896" s="157"/>
      <c r="O896" s="157" t="s">
        <v>596</v>
      </c>
      <c r="P896" s="36" t="s">
        <v>3003</v>
      </c>
    </row>
    <row r="897" s="92" customFormat="1" ht="20.1" customHeight="1" spans="1:16">
      <c r="A897" s="157" t="s">
        <v>3004</v>
      </c>
      <c r="B897" s="36" t="s">
        <v>3005</v>
      </c>
      <c r="C897" s="267"/>
      <c r="D897" s="268">
        <f t="shared" si="188"/>
        <v>0</v>
      </c>
      <c r="E897" s="267"/>
      <c r="F897" s="267"/>
      <c r="G897" s="267"/>
      <c r="H897" s="267"/>
      <c r="I897" s="287"/>
      <c r="J897" s="288">
        <f t="shared" si="198"/>
        <v>0</v>
      </c>
      <c r="K897" s="276" t="s">
        <v>1087</v>
      </c>
      <c r="L897" s="33">
        <v>1</v>
      </c>
      <c r="M897" s="157" t="s">
        <v>3004</v>
      </c>
      <c r="N897" s="157"/>
      <c r="O897" s="157" t="s">
        <v>596</v>
      </c>
      <c r="P897" s="163" t="s">
        <v>3006</v>
      </c>
    </row>
    <row r="898" s="92" customFormat="1" ht="20.1" customHeight="1" spans="1:16">
      <c r="A898" s="183" t="s">
        <v>3007</v>
      </c>
      <c r="B898" s="609" t="s">
        <v>3008</v>
      </c>
      <c r="C898" s="267">
        <v>3383</v>
      </c>
      <c r="D898" s="268">
        <f t="shared" si="188"/>
        <v>1136</v>
      </c>
      <c r="E898" s="267">
        <v>900</v>
      </c>
      <c r="F898" s="267"/>
      <c r="G898" s="267">
        <v>236</v>
      </c>
      <c r="H898" s="267"/>
      <c r="I898" s="287"/>
      <c r="J898" s="288"/>
      <c r="K898" s="276" t="s">
        <v>1087</v>
      </c>
      <c r="L898" s="33">
        <v>1</v>
      </c>
      <c r="M898" s="157" t="s">
        <v>3007</v>
      </c>
      <c r="N898" s="157"/>
      <c r="O898" s="157" t="s">
        <v>596</v>
      </c>
      <c r="P898" s="305" t="s">
        <v>3009</v>
      </c>
    </row>
    <row r="899" s="92" customFormat="1" ht="20.1" customHeight="1" spans="1:16">
      <c r="A899" s="157" t="s">
        <v>3010</v>
      </c>
      <c r="B899" s="36" t="s">
        <v>3011</v>
      </c>
      <c r="C899" s="267">
        <v>1195</v>
      </c>
      <c r="D899" s="268">
        <f t="shared" si="188"/>
        <v>7554</v>
      </c>
      <c r="E899" s="267">
        <v>124</v>
      </c>
      <c r="F899" s="267"/>
      <c r="G899" s="267">
        <v>7406</v>
      </c>
      <c r="H899" s="267"/>
      <c r="I899" s="287">
        <v>24</v>
      </c>
      <c r="J899" s="288">
        <f t="shared" ref="J899:J920" si="202">ROUND(IF(C899=0,IF(D899=0,0,1),IF(D899=0,-1,D899/C899)),4)*100</f>
        <v>632.13</v>
      </c>
      <c r="K899" s="276" t="s">
        <v>1087</v>
      </c>
      <c r="L899" s="33">
        <v>1</v>
      </c>
      <c r="M899" s="157" t="s">
        <v>3010</v>
      </c>
      <c r="N899" s="157"/>
      <c r="O899" s="157" t="s">
        <v>596</v>
      </c>
      <c r="P899" s="163" t="s">
        <v>3012</v>
      </c>
    </row>
    <row r="900" s="93" customFormat="1" ht="20.1" customHeight="1" spans="1:16">
      <c r="A900" s="263" t="s">
        <v>597</v>
      </c>
      <c r="B900" s="297" t="s">
        <v>3013</v>
      </c>
      <c r="C900" s="265">
        <f t="shared" ref="C900:I900" si="203">SUM(C901:C922)</f>
        <v>13613</v>
      </c>
      <c r="D900" s="265">
        <f t="shared" si="188"/>
        <v>12897</v>
      </c>
      <c r="E900" s="265">
        <f t="shared" si="203"/>
        <v>670</v>
      </c>
      <c r="F900" s="265">
        <f t="shared" si="203"/>
        <v>0</v>
      </c>
      <c r="G900" s="265">
        <f t="shared" si="203"/>
        <v>10120</v>
      </c>
      <c r="H900" s="265">
        <f t="shared" si="203"/>
        <v>0</v>
      </c>
      <c r="I900" s="265">
        <f t="shared" si="203"/>
        <v>2107</v>
      </c>
      <c r="J900" s="298">
        <f t="shared" si="202"/>
        <v>94.74</v>
      </c>
      <c r="K900" s="284" t="s">
        <v>1082</v>
      </c>
      <c r="L900" s="285"/>
      <c r="M900" s="263" t="s">
        <v>597</v>
      </c>
      <c r="N900" s="263" t="s">
        <v>595</v>
      </c>
      <c r="O900" s="263" t="s">
        <v>597</v>
      </c>
      <c r="P900" s="286" t="s">
        <v>3014</v>
      </c>
    </row>
    <row r="901" s="92" customFormat="1" ht="20.1" customHeight="1" spans="1:16">
      <c r="A901" s="157" t="s">
        <v>3015</v>
      </c>
      <c r="B901" s="36" t="s">
        <v>1086</v>
      </c>
      <c r="C901" s="267">
        <v>168</v>
      </c>
      <c r="D901" s="268">
        <f t="shared" si="188"/>
        <v>47</v>
      </c>
      <c r="E901" s="267"/>
      <c r="F901" s="267"/>
      <c r="G901" s="267"/>
      <c r="H901" s="267"/>
      <c r="I901" s="287">
        <v>47</v>
      </c>
      <c r="J901" s="288">
        <f t="shared" si="202"/>
        <v>27.98</v>
      </c>
      <c r="K901" s="276" t="s">
        <v>1087</v>
      </c>
      <c r="L901" s="33">
        <v>1</v>
      </c>
      <c r="M901" s="157" t="s">
        <v>3015</v>
      </c>
      <c r="N901" s="157"/>
      <c r="O901" s="157" t="s">
        <v>597</v>
      </c>
      <c r="P901" s="164" t="s">
        <v>1088</v>
      </c>
    </row>
    <row r="902" s="92" customFormat="1" ht="20.1" customHeight="1" spans="1:16">
      <c r="A902" s="157" t="s">
        <v>3016</v>
      </c>
      <c r="B902" s="36" t="s">
        <v>1090</v>
      </c>
      <c r="C902" s="267"/>
      <c r="D902" s="268">
        <f t="shared" ref="D902:D965" si="204">SUM(E902:I902)</f>
        <v>0</v>
      </c>
      <c r="E902" s="267"/>
      <c r="F902" s="267"/>
      <c r="G902" s="267"/>
      <c r="H902" s="267"/>
      <c r="I902" s="287"/>
      <c r="J902" s="288">
        <f t="shared" si="202"/>
        <v>0</v>
      </c>
      <c r="K902" s="276" t="s">
        <v>1087</v>
      </c>
      <c r="L902" s="33">
        <v>1</v>
      </c>
      <c r="M902" s="157" t="s">
        <v>3016</v>
      </c>
      <c r="N902" s="157"/>
      <c r="O902" s="157" t="s">
        <v>597</v>
      </c>
      <c r="P902" s="164" t="s">
        <v>1091</v>
      </c>
    </row>
    <row r="903" s="92" customFormat="1" ht="20.1" customHeight="1" spans="1:16">
      <c r="A903" s="157" t="s">
        <v>3017</v>
      </c>
      <c r="B903" s="36" t="s">
        <v>1093</v>
      </c>
      <c r="C903" s="267"/>
      <c r="D903" s="268">
        <f t="shared" si="204"/>
        <v>0</v>
      </c>
      <c r="E903" s="267"/>
      <c r="F903" s="267"/>
      <c r="G903" s="267"/>
      <c r="H903" s="267"/>
      <c r="I903" s="287"/>
      <c r="J903" s="288">
        <f t="shared" si="202"/>
        <v>0</v>
      </c>
      <c r="K903" s="276" t="s">
        <v>1087</v>
      </c>
      <c r="L903" s="33">
        <v>1</v>
      </c>
      <c r="M903" s="157" t="s">
        <v>3017</v>
      </c>
      <c r="N903" s="157"/>
      <c r="O903" s="157" t="s">
        <v>597</v>
      </c>
      <c r="P903" s="164" t="s">
        <v>1094</v>
      </c>
    </row>
    <row r="904" s="92" customFormat="1" ht="20.1" customHeight="1" spans="1:16">
      <c r="A904" s="157" t="s">
        <v>3018</v>
      </c>
      <c r="B904" s="36" t="s">
        <v>3019</v>
      </c>
      <c r="C904" s="267">
        <v>2560</v>
      </c>
      <c r="D904" s="268">
        <f t="shared" si="204"/>
        <v>2060</v>
      </c>
      <c r="E904" s="267"/>
      <c r="F904" s="267"/>
      <c r="G904" s="267"/>
      <c r="H904" s="267"/>
      <c r="I904" s="287">
        <v>2060</v>
      </c>
      <c r="J904" s="288">
        <f t="shared" si="202"/>
        <v>80.47</v>
      </c>
      <c r="K904" s="276" t="s">
        <v>1087</v>
      </c>
      <c r="L904" s="33">
        <v>1</v>
      </c>
      <c r="M904" s="157" t="s">
        <v>3018</v>
      </c>
      <c r="N904" s="157"/>
      <c r="O904" s="157" t="s">
        <v>597</v>
      </c>
      <c r="P904" s="164" t="s">
        <v>3020</v>
      </c>
    </row>
    <row r="905" s="92" customFormat="1" ht="20.1" customHeight="1" spans="1:16">
      <c r="A905" s="157" t="s">
        <v>3021</v>
      </c>
      <c r="B905" s="36" t="s">
        <v>3022</v>
      </c>
      <c r="C905" s="267">
        <v>9198</v>
      </c>
      <c r="D905" s="268">
        <f t="shared" si="204"/>
        <v>3616</v>
      </c>
      <c r="E905" s="267"/>
      <c r="F905" s="267"/>
      <c r="G905" s="267">
        <v>3616</v>
      </c>
      <c r="H905" s="267"/>
      <c r="I905" s="287"/>
      <c r="J905" s="288">
        <f t="shared" si="202"/>
        <v>39.31</v>
      </c>
      <c r="K905" s="276" t="s">
        <v>1087</v>
      </c>
      <c r="L905" s="33">
        <v>1</v>
      </c>
      <c r="M905" s="157" t="s">
        <v>3021</v>
      </c>
      <c r="N905" s="157"/>
      <c r="O905" s="157" t="s">
        <v>597</v>
      </c>
      <c r="P905" s="164" t="s">
        <v>3023</v>
      </c>
    </row>
    <row r="906" s="92" customFormat="1" ht="20.1" customHeight="1" spans="1:16">
      <c r="A906" s="157" t="s">
        <v>3024</v>
      </c>
      <c r="B906" s="36" t="s">
        <v>3025</v>
      </c>
      <c r="C906" s="267"/>
      <c r="D906" s="268">
        <f t="shared" si="204"/>
        <v>0</v>
      </c>
      <c r="E906" s="267"/>
      <c r="F906" s="267"/>
      <c r="G906" s="267"/>
      <c r="H906" s="267"/>
      <c r="I906" s="287"/>
      <c r="J906" s="288">
        <f t="shared" si="202"/>
        <v>0</v>
      </c>
      <c r="K906" s="276" t="s">
        <v>1087</v>
      </c>
      <c r="L906" s="33">
        <v>1</v>
      </c>
      <c r="M906" s="157" t="s">
        <v>3024</v>
      </c>
      <c r="N906" s="157"/>
      <c r="O906" s="157" t="s">
        <v>597</v>
      </c>
      <c r="P906" s="164" t="s">
        <v>3026</v>
      </c>
    </row>
    <row r="907" s="92" customFormat="1" ht="20.1" customHeight="1" spans="1:16">
      <c r="A907" s="157" t="s">
        <v>3027</v>
      </c>
      <c r="B907" s="36" t="s">
        <v>3028</v>
      </c>
      <c r="C907" s="267"/>
      <c r="D907" s="268">
        <f t="shared" si="204"/>
        <v>0</v>
      </c>
      <c r="E907" s="267"/>
      <c r="F907" s="267"/>
      <c r="G907" s="267"/>
      <c r="H907" s="267"/>
      <c r="I907" s="287"/>
      <c r="J907" s="288">
        <f t="shared" si="202"/>
        <v>0</v>
      </c>
      <c r="K907" s="276" t="s">
        <v>1087</v>
      </c>
      <c r="L907" s="33">
        <v>1</v>
      </c>
      <c r="M907" s="157" t="s">
        <v>3027</v>
      </c>
      <c r="N907" s="157"/>
      <c r="O907" s="157" t="s">
        <v>597</v>
      </c>
      <c r="P907" s="163" t="s">
        <v>3029</v>
      </c>
    </row>
    <row r="908" s="92" customFormat="1" ht="20.1" customHeight="1" spans="1:16">
      <c r="A908" s="157" t="s">
        <v>3030</v>
      </c>
      <c r="B908" s="36" t="s">
        <v>3031</v>
      </c>
      <c r="C908" s="267"/>
      <c r="D908" s="268">
        <f t="shared" si="204"/>
        <v>27</v>
      </c>
      <c r="E908" s="267"/>
      <c r="F908" s="267"/>
      <c r="G908" s="267">
        <v>27</v>
      </c>
      <c r="H908" s="267"/>
      <c r="I908" s="287"/>
      <c r="J908" s="288">
        <f t="shared" si="202"/>
        <v>100</v>
      </c>
      <c r="K908" s="276" t="s">
        <v>1087</v>
      </c>
      <c r="L908" s="33">
        <v>1</v>
      </c>
      <c r="M908" s="157" t="s">
        <v>3030</v>
      </c>
      <c r="N908" s="157"/>
      <c r="O908" s="157" t="s">
        <v>597</v>
      </c>
      <c r="P908" s="163" t="s">
        <v>3032</v>
      </c>
    </row>
    <row r="909" s="92" customFormat="1" ht="20.1" customHeight="1" spans="1:16">
      <c r="A909" s="157" t="s">
        <v>3033</v>
      </c>
      <c r="B909" s="36" t="s">
        <v>3034</v>
      </c>
      <c r="C909" s="267"/>
      <c r="D909" s="268">
        <f t="shared" si="204"/>
        <v>0</v>
      </c>
      <c r="E909" s="267"/>
      <c r="F909" s="267"/>
      <c r="G909" s="267"/>
      <c r="H909" s="267"/>
      <c r="I909" s="287"/>
      <c r="J909" s="288">
        <f t="shared" si="202"/>
        <v>0</v>
      </c>
      <c r="K909" s="276" t="s">
        <v>1087</v>
      </c>
      <c r="L909" s="33">
        <v>1</v>
      </c>
      <c r="M909" s="157" t="s">
        <v>3033</v>
      </c>
      <c r="N909" s="157"/>
      <c r="O909" s="157" t="s">
        <v>597</v>
      </c>
      <c r="P909" s="163" t="s">
        <v>3035</v>
      </c>
    </row>
    <row r="910" s="92" customFormat="1" ht="20.1" customHeight="1" spans="1:16">
      <c r="A910" s="157" t="s">
        <v>3036</v>
      </c>
      <c r="B910" s="36" t="s">
        <v>3037</v>
      </c>
      <c r="C910" s="267"/>
      <c r="D910" s="268">
        <f t="shared" si="204"/>
        <v>0</v>
      </c>
      <c r="E910" s="267"/>
      <c r="F910" s="267"/>
      <c r="G910" s="267"/>
      <c r="H910" s="267"/>
      <c r="I910" s="287"/>
      <c r="J910" s="288">
        <f t="shared" si="202"/>
        <v>0</v>
      </c>
      <c r="K910" s="276" t="s">
        <v>1087</v>
      </c>
      <c r="L910" s="33">
        <v>1</v>
      </c>
      <c r="M910" s="157" t="s">
        <v>3036</v>
      </c>
      <c r="N910" s="157"/>
      <c r="O910" s="157" t="s">
        <v>597</v>
      </c>
      <c r="P910" s="163" t="s">
        <v>3038</v>
      </c>
    </row>
    <row r="911" s="92" customFormat="1" ht="20.1" customHeight="1" spans="1:16">
      <c r="A911" s="157" t="s">
        <v>3039</v>
      </c>
      <c r="B911" s="36" t="s">
        <v>3040</v>
      </c>
      <c r="C911" s="267"/>
      <c r="D911" s="268">
        <f t="shared" si="204"/>
        <v>0</v>
      </c>
      <c r="E911" s="267"/>
      <c r="F911" s="267"/>
      <c r="G911" s="267"/>
      <c r="H911" s="267"/>
      <c r="I911" s="287"/>
      <c r="J911" s="288">
        <f t="shared" si="202"/>
        <v>0</v>
      </c>
      <c r="K911" s="276" t="s">
        <v>1087</v>
      </c>
      <c r="L911" s="33">
        <v>1</v>
      </c>
      <c r="M911" s="157" t="s">
        <v>3039</v>
      </c>
      <c r="N911" s="157"/>
      <c r="O911" s="157" t="s">
        <v>597</v>
      </c>
      <c r="P911" s="164" t="s">
        <v>3041</v>
      </c>
    </row>
    <row r="912" s="92" customFormat="1" ht="20.1" customHeight="1" spans="1:16">
      <c r="A912" s="157" t="s">
        <v>3042</v>
      </c>
      <c r="B912" s="36" t="s">
        <v>3043</v>
      </c>
      <c r="C912" s="267"/>
      <c r="D912" s="268">
        <f t="shared" si="204"/>
        <v>0</v>
      </c>
      <c r="E912" s="267"/>
      <c r="F912" s="267"/>
      <c r="G912" s="267"/>
      <c r="H912" s="267"/>
      <c r="I912" s="287"/>
      <c r="J912" s="288">
        <f t="shared" si="202"/>
        <v>0</v>
      </c>
      <c r="K912" s="276" t="s">
        <v>1087</v>
      </c>
      <c r="L912" s="33">
        <v>1</v>
      </c>
      <c r="M912" s="157" t="s">
        <v>3042</v>
      </c>
      <c r="N912" s="157"/>
      <c r="O912" s="157" t="s">
        <v>597</v>
      </c>
      <c r="P912" s="163" t="s">
        <v>3044</v>
      </c>
    </row>
    <row r="913" s="92" customFormat="1" ht="20.1" customHeight="1" spans="1:16">
      <c r="A913" s="157" t="s">
        <v>3045</v>
      </c>
      <c r="B913" s="36" t="s">
        <v>3046</v>
      </c>
      <c r="C913" s="267"/>
      <c r="D913" s="268">
        <f t="shared" si="204"/>
        <v>0</v>
      </c>
      <c r="E913" s="267"/>
      <c r="F913" s="267"/>
      <c r="G913" s="267"/>
      <c r="H913" s="267"/>
      <c r="I913" s="287"/>
      <c r="J913" s="288">
        <f t="shared" si="202"/>
        <v>0</v>
      </c>
      <c r="K913" s="276" t="s">
        <v>1087</v>
      </c>
      <c r="L913" s="33">
        <v>1</v>
      </c>
      <c r="M913" s="157" t="s">
        <v>3045</v>
      </c>
      <c r="N913" s="157"/>
      <c r="O913" s="157" t="s">
        <v>597</v>
      </c>
      <c r="P913" s="164" t="s">
        <v>1593</v>
      </c>
    </row>
    <row r="914" s="92" customFormat="1" ht="20.1" customHeight="1" spans="1:16">
      <c r="A914" s="157" t="s">
        <v>3047</v>
      </c>
      <c r="B914" s="36" t="s">
        <v>3048</v>
      </c>
      <c r="C914" s="267"/>
      <c r="D914" s="268">
        <f t="shared" si="204"/>
        <v>0</v>
      </c>
      <c r="E914" s="267"/>
      <c r="F914" s="267"/>
      <c r="G914" s="267"/>
      <c r="H914" s="267"/>
      <c r="I914" s="287"/>
      <c r="J914" s="288">
        <f t="shared" si="202"/>
        <v>0</v>
      </c>
      <c r="K914" s="276" t="s">
        <v>1087</v>
      </c>
      <c r="L914" s="33">
        <v>1</v>
      </c>
      <c r="M914" s="157" t="s">
        <v>3047</v>
      </c>
      <c r="N914" s="157"/>
      <c r="O914" s="157" t="s">
        <v>597</v>
      </c>
      <c r="P914" s="164" t="s">
        <v>3049</v>
      </c>
    </row>
    <row r="915" s="92" customFormat="1" ht="20.1" customHeight="1" spans="1:16">
      <c r="A915" s="157" t="s">
        <v>3050</v>
      </c>
      <c r="B915" s="36" t="s">
        <v>3051</v>
      </c>
      <c r="C915" s="267"/>
      <c r="D915" s="268">
        <f t="shared" si="204"/>
        <v>0</v>
      </c>
      <c r="E915" s="267"/>
      <c r="F915" s="267"/>
      <c r="G915" s="267"/>
      <c r="H915" s="267"/>
      <c r="I915" s="287"/>
      <c r="J915" s="288">
        <f t="shared" si="202"/>
        <v>0</v>
      </c>
      <c r="K915" s="276" t="s">
        <v>1087</v>
      </c>
      <c r="L915" s="33">
        <v>1</v>
      </c>
      <c r="M915" s="157" t="s">
        <v>3050</v>
      </c>
      <c r="N915" s="157"/>
      <c r="O915" s="157" t="s">
        <v>597</v>
      </c>
      <c r="P915" s="164" t="s">
        <v>3052</v>
      </c>
    </row>
    <row r="916" s="92" customFormat="1" ht="20.1" customHeight="1" spans="1:16">
      <c r="A916" s="157" t="s">
        <v>3053</v>
      </c>
      <c r="B916" s="36" t="s">
        <v>3054</v>
      </c>
      <c r="C916" s="267"/>
      <c r="D916" s="268">
        <f t="shared" si="204"/>
        <v>0</v>
      </c>
      <c r="E916" s="267"/>
      <c r="F916" s="267"/>
      <c r="G916" s="267"/>
      <c r="H916" s="267"/>
      <c r="I916" s="287"/>
      <c r="J916" s="288">
        <f t="shared" si="202"/>
        <v>0</v>
      </c>
      <c r="K916" s="276" t="s">
        <v>1087</v>
      </c>
      <c r="L916" s="33">
        <v>1</v>
      </c>
      <c r="M916" s="157" t="s">
        <v>3053</v>
      </c>
      <c r="N916" s="157"/>
      <c r="O916" s="157" t="s">
        <v>597</v>
      </c>
      <c r="P916" s="164" t="s">
        <v>3055</v>
      </c>
    </row>
    <row r="917" s="92" customFormat="1" ht="20.1" customHeight="1" spans="1:16">
      <c r="A917" s="157" t="s">
        <v>3056</v>
      </c>
      <c r="B917" s="36" t="s">
        <v>3057</v>
      </c>
      <c r="C917" s="267"/>
      <c r="D917" s="268">
        <f t="shared" si="204"/>
        <v>0</v>
      </c>
      <c r="E917" s="267"/>
      <c r="F917" s="267"/>
      <c r="G917" s="267"/>
      <c r="H917" s="267"/>
      <c r="I917" s="287"/>
      <c r="J917" s="288">
        <f t="shared" si="202"/>
        <v>0</v>
      </c>
      <c r="K917" s="276" t="s">
        <v>1087</v>
      </c>
      <c r="L917" s="33">
        <v>1</v>
      </c>
      <c r="M917" s="157" t="s">
        <v>3056</v>
      </c>
      <c r="N917" s="157"/>
      <c r="O917" s="157" t="s">
        <v>597</v>
      </c>
      <c r="P917" s="164" t="s">
        <v>3058</v>
      </c>
    </row>
    <row r="918" s="92" customFormat="1" ht="20.1" customHeight="1" spans="1:16">
      <c r="A918" s="157" t="s">
        <v>3059</v>
      </c>
      <c r="B918" s="36" t="s">
        <v>3060</v>
      </c>
      <c r="C918" s="267">
        <v>92</v>
      </c>
      <c r="D918" s="268">
        <f t="shared" si="204"/>
        <v>9</v>
      </c>
      <c r="E918" s="267"/>
      <c r="F918" s="267"/>
      <c r="G918" s="267">
        <v>9</v>
      </c>
      <c r="H918" s="267"/>
      <c r="I918" s="287"/>
      <c r="J918" s="288">
        <f t="shared" si="202"/>
        <v>9.78</v>
      </c>
      <c r="K918" s="276" t="s">
        <v>1087</v>
      </c>
      <c r="L918" s="33">
        <v>1</v>
      </c>
      <c r="M918" s="157" t="s">
        <v>3059</v>
      </c>
      <c r="N918" s="157"/>
      <c r="O918" s="157" t="s">
        <v>597</v>
      </c>
      <c r="P918" s="164" t="s">
        <v>3061</v>
      </c>
    </row>
    <row r="919" s="92" customFormat="1" ht="20.1" customHeight="1" spans="1:16">
      <c r="A919" s="157" t="s">
        <v>3062</v>
      </c>
      <c r="B919" s="36" t="s">
        <v>3063</v>
      </c>
      <c r="C919" s="267"/>
      <c r="D919" s="268">
        <f t="shared" si="204"/>
        <v>0</v>
      </c>
      <c r="E919" s="267"/>
      <c r="F919" s="267"/>
      <c r="G919" s="267"/>
      <c r="H919" s="267"/>
      <c r="I919" s="287"/>
      <c r="J919" s="288">
        <f t="shared" si="202"/>
        <v>0</v>
      </c>
      <c r="K919" s="276" t="s">
        <v>1087</v>
      </c>
      <c r="L919" s="33">
        <v>1</v>
      </c>
      <c r="M919" s="157" t="s">
        <v>3062</v>
      </c>
      <c r="N919" s="157"/>
      <c r="O919" s="157" t="s">
        <v>597</v>
      </c>
      <c r="P919" s="164" t="s">
        <v>3064</v>
      </c>
    </row>
    <row r="920" s="92" customFormat="1" ht="20.1" customHeight="1" spans="1:16">
      <c r="A920" s="157" t="s">
        <v>3065</v>
      </c>
      <c r="B920" s="36" t="s">
        <v>3066</v>
      </c>
      <c r="C920" s="267"/>
      <c r="D920" s="268">
        <f t="shared" si="204"/>
        <v>0</v>
      </c>
      <c r="E920" s="267"/>
      <c r="F920" s="267"/>
      <c r="G920" s="267"/>
      <c r="H920" s="267"/>
      <c r="I920" s="287"/>
      <c r="J920" s="288">
        <f t="shared" si="202"/>
        <v>0</v>
      </c>
      <c r="K920" s="276" t="s">
        <v>1087</v>
      </c>
      <c r="L920" s="33">
        <v>1</v>
      </c>
      <c r="M920" s="157" t="s">
        <v>3065</v>
      </c>
      <c r="N920" s="157"/>
      <c r="O920" s="157" t="s">
        <v>597</v>
      </c>
      <c r="P920" s="164" t="s">
        <v>3067</v>
      </c>
    </row>
    <row r="921" s="92" customFormat="1" ht="20.1" customHeight="1" spans="1:16">
      <c r="A921" s="157" t="s">
        <v>3068</v>
      </c>
      <c r="B921" s="36" t="s">
        <v>3069</v>
      </c>
      <c r="C921" s="267"/>
      <c r="D921" s="268">
        <f t="shared" si="204"/>
        <v>49</v>
      </c>
      <c r="E921" s="267"/>
      <c r="F921" s="267"/>
      <c r="G921" s="267">
        <v>49</v>
      </c>
      <c r="H921" s="267"/>
      <c r="I921" s="287"/>
      <c r="J921" s="288"/>
      <c r="K921" s="276" t="s">
        <v>1087</v>
      </c>
      <c r="L921" s="33">
        <v>1</v>
      </c>
      <c r="M921" s="157" t="s">
        <v>3068</v>
      </c>
      <c r="N921" s="157"/>
      <c r="O921" s="157" t="s">
        <v>597</v>
      </c>
      <c r="P921" s="36" t="s">
        <v>3070</v>
      </c>
    </row>
    <row r="922" s="92" customFormat="1" ht="20.1" customHeight="1" spans="1:16">
      <c r="A922" s="157" t="s">
        <v>3071</v>
      </c>
      <c r="B922" s="36" t="s">
        <v>3072</v>
      </c>
      <c r="C922" s="267">
        <v>1595</v>
      </c>
      <c r="D922" s="268">
        <f t="shared" si="204"/>
        <v>7089</v>
      </c>
      <c r="E922" s="267">
        <v>670</v>
      </c>
      <c r="F922" s="267"/>
      <c r="G922" s="267">
        <v>6419</v>
      </c>
      <c r="H922" s="267"/>
      <c r="I922" s="287"/>
      <c r="J922" s="288">
        <f t="shared" ref="J922:J947" si="205">ROUND(IF(C922=0,IF(D922=0,0,1),IF(D922=0,-1,D922/C922)),4)*100</f>
        <v>444.45</v>
      </c>
      <c r="K922" s="276" t="s">
        <v>1087</v>
      </c>
      <c r="L922" s="33">
        <v>1</v>
      </c>
      <c r="M922" s="157" t="s">
        <v>3071</v>
      </c>
      <c r="N922" s="157"/>
      <c r="O922" s="157" t="s">
        <v>597</v>
      </c>
      <c r="P922" s="164" t="s">
        <v>3073</v>
      </c>
    </row>
    <row r="923" s="93" customFormat="1" ht="20.1" customHeight="1" spans="1:16">
      <c r="A923" s="263" t="s">
        <v>598</v>
      </c>
      <c r="B923" s="297" t="s">
        <v>3074</v>
      </c>
      <c r="C923" s="265">
        <f t="shared" ref="C923:I923" si="206">SUM(C924:C950)</f>
        <v>2975</v>
      </c>
      <c r="D923" s="265">
        <f t="shared" si="204"/>
        <v>4744</v>
      </c>
      <c r="E923" s="265">
        <f t="shared" si="206"/>
        <v>1589</v>
      </c>
      <c r="F923" s="265">
        <f t="shared" si="206"/>
        <v>118</v>
      </c>
      <c r="G923" s="265">
        <f t="shared" si="206"/>
        <v>2489</v>
      </c>
      <c r="H923" s="265">
        <f t="shared" si="206"/>
        <v>0</v>
      </c>
      <c r="I923" s="265">
        <f t="shared" si="206"/>
        <v>548</v>
      </c>
      <c r="J923" s="298">
        <f t="shared" si="205"/>
        <v>159.46</v>
      </c>
      <c r="K923" s="284" t="s">
        <v>1082</v>
      </c>
      <c r="L923" s="285"/>
      <c r="M923" s="263" t="s">
        <v>598</v>
      </c>
      <c r="N923" s="263" t="s">
        <v>595</v>
      </c>
      <c r="O923" s="263" t="s">
        <v>598</v>
      </c>
      <c r="P923" s="286" t="s">
        <v>3075</v>
      </c>
    </row>
    <row r="924" s="92" customFormat="1" ht="20.1" customHeight="1" spans="1:16">
      <c r="A924" s="157" t="s">
        <v>3076</v>
      </c>
      <c r="B924" s="36" t="s">
        <v>1086</v>
      </c>
      <c r="C924" s="267">
        <v>129</v>
      </c>
      <c r="D924" s="268">
        <f t="shared" si="204"/>
        <v>111</v>
      </c>
      <c r="E924" s="267"/>
      <c r="F924" s="267"/>
      <c r="G924" s="267"/>
      <c r="H924" s="267"/>
      <c r="I924" s="287">
        <v>111</v>
      </c>
      <c r="J924" s="288">
        <f t="shared" si="205"/>
        <v>86.05</v>
      </c>
      <c r="K924" s="276" t="s">
        <v>1087</v>
      </c>
      <c r="L924" s="33">
        <v>1</v>
      </c>
      <c r="M924" s="157" t="s">
        <v>3076</v>
      </c>
      <c r="N924" s="157"/>
      <c r="O924" s="157" t="s">
        <v>598</v>
      </c>
      <c r="P924" s="164" t="s">
        <v>1088</v>
      </c>
    </row>
    <row r="925" s="92" customFormat="1" ht="20.1" customHeight="1" spans="1:16">
      <c r="A925" s="157" t="s">
        <v>3077</v>
      </c>
      <c r="B925" s="36" t="s">
        <v>1090</v>
      </c>
      <c r="C925" s="267">
        <v>277</v>
      </c>
      <c r="D925" s="268">
        <f t="shared" si="204"/>
        <v>315</v>
      </c>
      <c r="E925" s="267"/>
      <c r="F925" s="267"/>
      <c r="G925" s="267"/>
      <c r="H925" s="267"/>
      <c r="I925" s="287">
        <v>315</v>
      </c>
      <c r="J925" s="288">
        <f t="shared" si="205"/>
        <v>113.72</v>
      </c>
      <c r="K925" s="276" t="s">
        <v>1087</v>
      </c>
      <c r="L925" s="33">
        <v>1</v>
      </c>
      <c r="M925" s="157" t="s">
        <v>3077</v>
      </c>
      <c r="N925" s="157"/>
      <c r="O925" s="157" t="s">
        <v>598</v>
      </c>
      <c r="P925" s="164" t="s">
        <v>1091</v>
      </c>
    </row>
    <row r="926" s="92" customFormat="1" ht="20.1" customHeight="1" spans="1:16">
      <c r="A926" s="157" t="s">
        <v>3078</v>
      </c>
      <c r="B926" s="36" t="s">
        <v>1093</v>
      </c>
      <c r="C926" s="267"/>
      <c r="D926" s="268">
        <f t="shared" si="204"/>
        <v>0</v>
      </c>
      <c r="E926" s="267"/>
      <c r="F926" s="267"/>
      <c r="G926" s="267"/>
      <c r="H926" s="267"/>
      <c r="I926" s="287"/>
      <c r="J926" s="288">
        <f t="shared" si="205"/>
        <v>0</v>
      </c>
      <c r="K926" s="276" t="s">
        <v>1087</v>
      </c>
      <c r="L926" s="33">
        <v>1</v>
      </c>
      <c r="M926" s="157" t="s">
        <v>3078</v>
      </c>
      <c r="N926" s="157"/>
      <c r="O926" s="157" t="s">
        <v>598</v>
      </c>
      <c r="P926" s="164" t="s">
        <v>1094</v>
      </c>
    </row>
    <row r="927" s="92" customFormat="1" ht="20.1" customHeight="1" spans="1:16">
      <c r="A927" s="157" t="s">
        <v>3079</v>
      </c>
      <c r="B927" s="36" t="s">
        <v>3080</v>
      </c>
      <c r="C927" s="267">
        <v>95</v>
      </c>
      <c r="D927" s="268">
        <f t="shared" si="204"/>
        <v>79</v>
      </c>
      <c r="E927" s="267"/>
      <c r="F927" s="267"/>
      <c r="G927" s="267"/>
      <c r="H927" s="267"/>
      <c r="I927" s="287">
        <v>79</v>
      </c>
      <c r="J927" s="288">
        <f t="shared" si="205"/>
        <v>83.16</v>
      </c>
      <c r="K927" s="276" t="s">
        <v>1087</v>
      </c>
      <c r="L927" s="33">
        <v>1</v>
      </c>
      <c r="M927" s="157" t="s">
        <v>3079</v>
      </c>
      <c r="N927" s="157"/>
      <c r="O927" s="157" t="s">
        <v>598</v>
      </c>
      <c r="P927" s="163" t="s">
        <v>3081</v>
      </c>
    </row>
    <row r="928" s="92" customFormat="1" ht="20.1" customHeight="1" spans="1:16">
      <c r="A928" s="157" t="s">
        <v>3082</v>
      </c>
      <c r="B928" s="36" t="s">
        <v>3083</v>
      </c>
      <c r="C928" s="267">
        <v>967</v>
      </c>
      <c r="D928" s="268">
        <f t="shared" si="204"/>
        <v>609</v>
      </c>
      <c r="E928" s="267"/>
      <c r="F928" s="267">
        <v>118</v>
      </c>
      <c r="G928" s="267">
        <v>491</v>
      </c>
      <c r="H928" s="267"/>
      <c r="I928" s="287"/>
      <c r="J928" s="288">
        <f t="shared" si="205"/>
        <v>62.98</v>
      </c>
      <c r="K928" s="276" t="s">
        <v>1087</v>
      </c>
      <c r="L928" s="33">
        <v>1</v>
      </c>
      <c r="M928" s="157" t="s">
        <v>3082</v>
      </c>
      <c r="N928" s="157"/>
      <c r="O928" s="157" t="s">
        <v>598</v>
      </c>
      <c r="P928" s="164" t="s">
        <v>3084</v>
      </c>
    </row>
    <row r="929" s="92" customFormat="1" ht="20.1" customHeight="1" spans="1:16">
      <c r="A929" s="157" t="s">
        <v>3085</v>
      </c>
      <c r="B929" s="36" t="s">
        <v>3086</v>
      </c>
      <c r="C929" s="267">
        <v>952</v>
      </c>
      <c r="D929" s="268">
        <f t="shared" si="204"/>
        <v>1472</v>
      </c>
      <c r="E929" s="267"/>
      <c r="F929" s="267"/>
      <c r="G929" s="267">
        <v>1472</v>
      </c>
      <c r="H929" s="267"/>
      <c r="I929" s="287"/>
      <c r="J929" s="288">
        <f t="shared" si="205"/>
        <v>154.62</v>
      </c>
      <c r="K929" s="276" t="s">
        <v>1087</v>
      </c>
      <c r="L929" s="33">
        <v>1</v>
      </c>
      <c r="M929" s="157" t="s">
        <v>3085</v>
      </c>
      <c r="N929" s="157"/>
      <c r="O929" s="157" t="s">
        <v>598</v>
      </c>
      <c r="P929" s="163" t="s">
        <v>3087</v>
      </c>
    </row>
    <row r="930" s="92" customFormat="1" ht="20.1" customHeight="1" spans="1:16">
      <c r="A930" s="157" t="s">
        <v>3088</v>
      </c>
      <c r="B930" s="36" t="s">
        <v>3089</v>
      </c>
      <c r="C930" s="267"/>
      <c r="D930" s="268">
        <f t="shared" si="204"/>
        <v>0</v>
      </c>
      <c r="E930" s="267"/>
      <c r="F930" s="267"/>
      <c r="G930" s="267"/>
      <c r="H930" s="267"/>
      <c r="I930" s="287"/>
      <c r="J930" s="288">
        <f t="shared" si="205"/>
        <v>0</v>
      </c>
      <c r="K930" s="276" t="s">
        <v>1087</v>
      </c>
      <c r="L930" s="33">
        <v>1</v>
      </c>
      <c r="M930" s="157" t="s">
        <v>3088</v>
      </c>
      <c r="N930" s="157"/>
      <c r="O930" s="157" t="s">
        <v>598</v>
      </c>
      <c r="P930" s="163" t="s">
        <v>3090</v>
      </c>
    </row>
    <row r="931" s="92" customFormat="1" ht="20.1" customHeight="1" spans="1:16">
      <c r="A931" s="157" t="s">
        <v>3091</v>
      </c>
      <c r="B931" s="36" t="s">
        <v>3092</v>
      </c>
      <c r="C931" s="267"/>
      <c r="D931" s="268">
        <f t="shared" si="204"/>
        <v>0</v>
      </c>
      <c r="E931" s="267"/>
      <c r="F931" s="267"/>
      <c r="G931" s="267"/>
      <c r="H931" s="267"/>
      <c r="I931" s="287"/>
      <c r="J931" s="288">
        <f t="shared" si="205"/>
        <v>0</v>
      </c>
      <c r="K931" s="276" t="s">
        <v>1087</v>
      </c>
      <c r="L931" s="33">
        <v>1</v>
      </c>
      <c r="M931" s="157" t="s">
        <v>3091</v>
      </c>
      <c r="N931" s="157"/>
      <c r="O931" s="157" t="s">
        <v>598</v>
      </c>
      <c r="P931" s="163" t="s">
        <v>3093</v>
      </c>
    </row>
    <row r="932" s="92" customFormat="1" ht="20.1" customHeight="1" spans="1:16">
      <c r="A932" s="157" t="s">
        <v>3094</v>
      </c>
      <c r="B932" s="36" t="s">
        <v>3095</v>
      </c>
      <c r="C932" s="267"/>
      <c r="D932" s="268">
        <f t="shared" si="204"/>
        <v>0</v>
      </c>
      <c r="E932" s="267"/>
      <c r="F932" s="267"/>
      <c r="G932" s="267"/>
      <c r="H932" s="267"/>
      <c r="I932" s="287"/>
      <c r="J932" s="288">
        <f t="shared" si="205"/>
        <v>0</v>
      </c>
      <c r="K932" s="276" t="s">
        <v>1087</v>
      </c>
      <c r="L932" s="33">
        <v>1</v>
      </c>
      <c r="M932" s="157" t="s">
        <v>3094</v>
      </c>
      <c r="N932" s="157"/>
      <c r="O932" s="157" t="s">
        <v>598</v>
      </c>
      <c r="P932" s="163" t="s">
        <v>3096</v>
      </c>
    </row>
    <row r="933" s="92" customFormat="1" ht="20.1" customHeight="1" spans="1:16">
      <c r="A933" s="157" t="s">
        <v>3097</v>
      </c>
      <c r="B933" s="36" t="s">
        <v>3098</v>
      </c>
      <c r="C933" s="267">
        <v>75</v>
      </c>
      <c r="D933" s="268">
        <f t="shared" si="204"/>
        <v>208</v>
      </c>
      <c r="E933" s="267"/>
      <c r="F933" s="267"/>
      <c r="G933" s="267">
        <v>208</v>
      </c>
      <c r="H933" s="267"/>
      <c r="I933" s="287"/>
      <c r="J933" s="288">
        <f t="shared" si="205"/>
        <v>277.33</v>
      </c>
      <c r="K933" s="276" t="s">
        <v>1087</v>
      </c>
      <c r="L933" s="33">
        <v>1</v>
      </c>
      <c r="M933" s="157" t="s">
        <v>3097</v>
      </c>
      <c r="N933" s="157"/>
      <c r="O933" s="157" t="s">
        <v>598</v>
      </c>
      <c r="P933" s="164" t="s">
        <v>3099</v>
      </c>
    </row>
    <row r="934" s="92" customFormat="1" ht="20.1" customHeight="1" spans="1:16">
      <c r="A934" s="157" t="s">
        <v>3100</v>
      </c>
      <c r="B934" s="36" t="s">
        <v>3101</v>
      </c>
      <c r="C934" s="267">
        <v>106</v>
      </c>
      <c r="D934" s="268">
        <f t="shared" si="204"/>
        <v>0</v>
      </c>
      <c r="E934" s="267"/>
      <c r="F934" s="267"/>
      <c r="G934" s="267"/>
      <c r="H934" s="267"/>
      <c r="I934" s="287"/>
      <c r="J934" s="288">
        <f t="shared" si="205"/>
        <v>-100</v>
      </c>
      <c r="K934" s="276" t="s">
        <v>1087</v>
      </c>
      <c r="L934" s="33">
        <v>1</v>
      </c>
      <c r="M934" s="157" t="s">
        <v>3100</v>
      </c>
      <c r="N934" s="157"/>
      <c r="O934" s="157" t="s">
        <v>598</v>
      </c>
      <c r="P934" s="163" t="s">
        <v>3102</v>
      </c>
    </row>
    <row r="935" s="92" customFormat="1" ht="20.1" customHeight="1" spans="1:16">
      <c r="A935" s="157" t="s">
        <v>3103</v>
      </c>
      <c r="B935" s="36" t="s">
        <v>3104</v>
      </c>
      <c r="C935" s="267"/>
      <c r="D935" s="268">
        <f t="shared" si="204"/>
        <v>0</v>
      </c>
      <c r="E935" s="267"/>
      <c r="F935" s="267"/>
      <c r="G935" s="267"/>
      <c r="H935" s="267"/>
      <c r="I935" s="287"/>
      <c r="J935" s="288">
        <f t="shared" si="205"/>
        <v>0</v>
      </c>
      <c r="K935" s="276" t="s">
        <v>1087</v>
      </c>
      <c r="L935" s="33">
        <v>1</v>
      </c>
      <c r="M935" s="157" t="s">
        <v>3103</v>
      </c>
      <c r="N935" s="157"/>
      <c r="O935" s="157" t="s">
        <v>598</v>
      </c>
      <c r="P935" s="163" t="s">
        <v>3105</v>
      </c>
    </row>
    <row r="936" s="92" customFormat="1" ht="20.1" customHeight="1" spans="1:16">
      <c r="A936" s="157" t="s">
        <v>3106</v>
      </c>
      <c r="B936" s="36" t="s">
        <v>3107</v>
      </c>
      <c r="C936" s="267"/>
      <c r="D936" s="268">
        <f t="shared" si="204"/>
        <v>0</v>
      </c>
      <c r="E936" s="267"/>
      <c r="F936" s="267"/>
      <c r="G936" s="267"/>
      <c r="H936" s="267"/>
      <c r="I936" s="287"/>
      <c r="J936" s="288">
        <f t="shared" si="205"/>
        <v>0</v>
      </c>
      <c r="K936" s="276" t="s">
        <v>1087</v>
      </c>
      <c r="L936" s="33">
        <v>1</v>
      </c>
      <c r="M936" s="157" t="s">
        <v>3106</v>
      </c>
      <c r="N936" s="157"/>
      <c r="O936" s="157" t="s">
        <v>598</v>
      </c>
      <c r="P936" s="163" t="s">
        <v>3108</v>
      </c>
    </row>
    <row r="937" s="92" customFormat="1" ht="20.1" customHeight="1" spans="1:16">
      <c r="A937" s="157" t="s">
        <v>3109</v>
      </c>
      <c r="B937" s="36" t="s">
        <v>3110</v>
      </c>
      <c r="C937" s="267">
        <v>155</v>
      </c>
      <c r="D937" s="268">
        <f t="shared" si="204"/>
        <v>1169</v>
      </c>
      <c r="E937" s="267">
        <v>865</v>
      </c>
      <c r="F937" s="267"/>
      <c r="G937" s="267">
        <v>274</v>
      </c>
      <c r="H937" s="267"/>
      <c r="I937" s="287">
        <v>30</v>
      </c>
      <c r="J937" s="288">
        <f t="shared" si="205"/>
        <v>754.19</v>
      </c>
      <c r="K937" s="276" t="s">
        <v>1087</v>
      </c>
      <c r="L937" s="33">
        <v>1</v>
      </c>
      <c r="M937" s="157" t="s">
        <v>3109</v>
      </c>
      <c r="N937" s="157"/>
      <c r="O937" s="157" t="s">
        <v>598</v>
      </c>
      <c r="P937" s="163" t="s">
        <v>3111</v>
      </c>
    </row>
    <row r="938" s="92" customFormat="1" ht="20.1" customHeight="1" spans="1:16">
      <c r="A938" s="157" t="s">
        <v>3112</v>
      </c>
      <c r="B938" s="36" t="s">
        <v>3113</v>
      </c>
      <c r="C938" s="267">
        <v>41</v>
      </c>
      <c r="D938" s="268">
        <f t="shared" si="204"/>
        <v>39</v>
      </c>
      <c r="E938" s="267"/>
      <c r="F938" s="267"/>
      <c r="G938" s="267">
        <v>39</v>
      </c>
      <c r="H938" s="267"/>
      <c r="I938" s="287"/>
      <c r="J938" s="288">
        <f t="shared" si="205"/>
        <v>95.12</v>
      </c>
      <c r="K938" s="276" t="s">
        <v>1087</v>
      </c>
      <c r="L938" s="33">
        <v>1</v>
      </c>
      <c r="M938" s="157" t="s">
        <v>3112</v>
      </c>
      <c r="N938" s="157"/>
      <c r="O938" s="157" t="s">
        <v>598</v>
      </c>
      <c r="P938" s="163" t="s">
        <v>3114</v>
      </c>
    </row>
    <row r="939" s="92" customFormat="1" ht="20.1" customHeight="1" spans="1:16">
      <c r="A939" s="157" t="s">
        <v>3115</v>
      </c>
      <c r="B939" s="36" t="s">
        <v>3116</v>
      </c>
      <c r="C939" s="267"/>
      <c r="D939" s="268">
        <f t="shared" si="204"/>
        <v>5</v>
      </c>
      <c r="E939" s="267"/>
      <c r="F939" s="267"/>
      <c r="G939" s="267"/>
      <c r="H939" s="267"/>
      <c r="I939" s="287">
        <v>5</v>
      </c>
      <c r="J939" s="288">
        <f t="shared" si="205"/>
        <v>100</v>
      </c>
      <c r="K939" s="276" t="s">
        <v>1087</v>
      </c>
      <c r="L939" s="33">
        <v>1</v>
      </c>
      <c r="M939" s="157" t="s">
        <v>3115</v>
      </c>
      <c r="N939" s="157"/>
      <c r="O939" s="157" t="s">
        <v>598</v>
      </c>
      <c r="P939" s="163" t="s">
        <v>3117</v>
      </c>
    </row>
    <row r="940" s="92" customFormat="1" ht="20.1" customHeight="1" spans="1:16">
      <c r="A940" s="157" t="s">
        <v>3118</v>
      </c>
      <c r="B940" s="36" t="s">
        <v>3119</v>
      </c>
      <c r="C940" s="267"/>
      <c r="D940" s="268">
        <f t="shared" si="204"/>
        <v>0</v>
      </c>
      <c r="E940" s="267"/>
      <c r="F940" s="267"/>
      <c r="G940" s="267"/>
      <c r="H940" s="267"/>
      <c r="I940" s="287"/>
      <c r="J940" s="288">
        <f t="shared" si="205"/>
        <v>0</v>
      </c>
      <c r="K940" s="276" t="s">
        <v>1087</v>
      </c>
      <c r="L940" s="33">
        <v>1</v>
      </c>
      <c r="M940" s="157" t="s">
        <v>3118</v>
      </c>
      <c r="N940" s="157"/>
      <c r="O940" s="157" t="s">
        <v>598</v>
      </c>
      <c r="P940" s="163" t="s">
        <v>3120</v>
      </c>
    </row>
    <row r="941" s="92" customFormat="1" ht="20.1" customHeight="1" spans="1:16">
      <c r="A941" s="157" t="s">
        <v>3121</v>
      </c>
      <c r="B941" s="36" t="s">
        <v>3122</v>
      </c>
      <c r="C941" s="267"/>
      <c r="D941" s="268">
        <f t="shared" si="204"/>
        <v>0</v>
      </c>
      <c r="E941" s="267"/>
      <c r="F941" s="267"/>
      <c r="G941" s="267"/>
      <c r="H941" s="267"/>
      <c r="I941" s="287"/>
      <c r="J941" s="288">
        <f t="shared" si="205"/>
        <v>0</v>
      </c>
      <c r="K941" s="276" t="s">
        <v>1087</v>
      </c>
      <c r="L941" s="33">
        <v>1</v>
      </c>
      <c r="M941" s="157" t="s">
        <v>3121</v>
      </c>
      <c r="N941" s="157"/>
      <c r="O941" s="157" t="s">
        <v>598</v>
      </c>
      <c r="P941" s="163" t="s">
        <v>3123</v>
      </c>
    </row>
    <row r="942" s="92" customFormat="1" ht="20.1" customHeight="1" spans="1:16">
      <c r="A942" s="157" t="s">
        <v>3124</v>
      </c>
      <c r="B942" s="36" t="s">
        <v>3125</v>
      </c>
      <c r="C942" s="267"/>
      <c r="D942" s="268">
        <f t="shared" si="204"/>
        <v>0</v>
      </c>
      <c r="E942" s="267"/>
      <c r="F942" s="267"/>
      <c r="G942" s="267"/>
      <c r="H942" s="267"/>
      <c r="I942" s="287"/>
      <c r="J942" s="288">
        <f t="shared" si="205"/>
        <v>0</v>
      </c>
      <c r="K942" s="276" t="s">
        <v>1087</v>
      </c>
      <c r="L942" s="33">
        <v>1</v>
      </c>
      <c r="M942" s="157" t="s">
        <v>3124</v>
      </c>
      <c r="N942" s="157"/>
      <c r="O942" s="157" t="s">
        <v>598</v>
      </c>
      <c r="P942" s="163" t="s">
        <v>3126</v>
      </c>
    </row>
    <row r="943" s="92" customFormat="1" ht="20.1" customHeight="1" spans="1:16">
      <c r="A943" s="157" t="s">
        <v>3127</v>
      </c>
      <c r="B943" s="36" t="s">
        <v>3128</v>
      </c>
      <c r="C943" s="267">
        <v>115</v>
      </c>
      <c r="D943" s="268">
        <f t="shared" si="204"/>
        <v>306</v>
      </c>
      <c r="E943" s="267">
        <v>306</v>
      </c>
      <c r="F943" s="267"/>
      <c r="G943" s="267"/>
      <c r="H943" s="267"/>
      <c r="I943" s="287"/>
      <c r="J943" s="288">
        <f t="shared" si="205"/>
        <v>266.09</v>
      </c>
      <c r="K943" s="276" t="s">
        <v>1087</v>
      </c>
      <c r="L943" s="33">
        <v>1</v>
      </c>
      <c r="M943" s="157" t="s">
        <v>3127</v>
      </c>
      <c r="N943" s="157"/>
      <c r="O943" s="157" t="s">
        <v>598</v>
      </c>
      <c r="P943" s="163" t="s">
        <v>3129</v>
      </c>
    </row>
    <row r="944" s="92" customFormat="1" ht="20.1" customHeight="1" spans="1:16">
      <c r="A944" s="157" t="s">
        <v>3130</v>
      </c>
      <c r="B944" s="36" t="s">
        <v>3131</v>
      </c>
      <c r="C944" s="267"/>
      <c r="D944" s="268">
        <f t="shared" si="204"/>
        <v>0</v>
      </c>
      <c r="E944" s="267"/>
      <c r="F944" s="267"/>
      <c r="G944" s="267"/>
      <c r="H944" s="267"/>
      <c r="I944" s="287"/>
      <c r="J944" s="288">
        <f t="shared" si="205"/>
        <v>0</v>
      </c>
      <c r="K944" s="276" t="s">
        <v>1087</v>
      </c>
      <c r="L944" s="33">
        <v>1</v>
      </c>
      <c r="M944" s="157" t="s">
        <v>3130</v>
      </c>
      <c r="N944" s="157"/>
      <c r="O944" s="157" t="s">
        <v>598</v>
      </c>
      <c r="P944" s="163" t="s">
        <v>3132</v>
      </c>
    </row>
    <row r="945" s="92" customFormat="1" ht="20.1" customHeight="1" spans="1:16">
      <c r="A945" s="157" t="s">
        <v>3133</v>
      </c>
      <c r="B945" s="36" t="s">
        <v>3051</v>
      </c>
      <c r="C945" s="267"/>
      <c r="D945" s="268">
        <f t="shared" si="204"/>
        <v>0</v>
      </c>
      <c r="E945" s="267"/>
      <c r="F945" s="267"/>
      <c r="G945" s="267"/>
      <c r="H945" s="267"/>
      <c r="I945" s="287"/>
      <c r="J945" s="288">
        <f t="shared" si="205"/>
        <v>0</v>
      </c>
      <c r="K945" s="276" t="s">
        <v>1087</v>
      </c>
      <c r="L945" s="33">
        <v>1</v>
      </c>
      <c r="M945" s="157" t="s">
        <v>3133</v>
      </c>
      <c r="N945" s="157"/>
      <c r="O945" s="157" t="s">
        <v>598</v>
      </c>
      <c r="P945" s="164" t="s">
        <v>3052</v>
      </c>
    </row>
    <row r="946" s="92" customFormat="1" ht="20.1" customHeight="1" spans="1:16">
      <c r="A946" s="157" t="s">
        <v>3134</v>
      </c>
      <c r="B946" s="36" t="s">
        <v>3135</v>
      </c>
      <c r="C946" s="267">
        <v>25</v>
      </c>
      <c r="D946" s="268">
        <f t="shared" si="204"/>
        <v>0</v>
      </c>
      <c r="E946" s="267"/>
      <c r="F946" s="267"/>
      <c r="G946" s="267"/>
      <c r="H946" s="267"/>
      <c r="I946" s="287"/>
      <c r="J946" s="288">
        <f t="shared" si="205"/>
        <v>-100</v>
      </c>
      <c r="K946" s="276" t="s">
        <v>1087</v>
      </c>
      <c r="L946" s="33">
        <v>1</v>
      </c>
      <c r="M946" s="157" t="s">
        <v>3134</v>
      </c>
      <c r="N946" s="157"/>
      <c r="O946" s="157" t="s">
        <v>598</v>
      </c>
      <c r="P946" s="163" t="s">
        <v>3136</v>
      </c>
    </row>
    <row r="947" s="92" customFormat="1" ht="20.1" customHeight="1" spans="1:16">
      <c r="A947" s="157" t="s">
        <v>3137</v>
      </c>
      <c r="B947" s="36" t="s">
        <v>3138</v>
      </c>
      <c r="C947" s="267"/>
      <c r="D947" s="268">
        <f t="shared" si="204"/>
        <v>383</v>
      </c>
      <c r="E947" s="267">
        <v>378</v>
      </c>
      <c r="F947" s="267"/>
      <c r="G947" s="267"/>
      <c r="H947" s="267"/>
      <c r="I947" s="287">
        <v>5</v>
      </c>
      <c r="J947" s="288">
        <f t="shared" si="205"/>
        <v>100</v>
      </c>
      <c r="K947" s="276" t="s">
        <v>1087</v>
      </c>
      <c r="L947" s="33">
        <v>1</v>
      </c>
      <c r="M947" s="157" t="s">
        <v>3137</v>
      </c>
      <c r="N947" s="157"/>
      <c r="O947" s="157" t="s">
        <v>598</v>
      </c>
      <c r="P947" s="163" t="s">
        <v>3139</v>
      </c>
    </row>
    <row r="948" s="92" customFormat="1" ht="20.1" customHeight="1" spans="1:16">
      <c r="A948" s="157" t="s">
        <v>3140</v>
      </c>
      <c r="B948" s="36" t="s">
        <v>849</v>
      </c>
      <c r="C948" s="267"/>
      <c r="D948" s="268">
        <f t="shared" si="204"/>
        <v>0</v>
      </c>
      <c r="E948" s="267"/>
      <c r="F948" s="267"/>
      <c r="G948" s="267"/>
      <c r="H948" s="267"/>
      <c r="I948" s="287"/>
      <c r="J948" s="288"/>
      <c r="K948" s="276" t="s">
        <v>1087</v>
      </c>
      <c r="L948" s="33">
        <v>1</v>
      </c>
      <c r="M948" s="157" t="s">
        <v>3140</v>
      </c>
      <c r="N948" s="157"/>
      <c r="O948" s="157" t="s">
        <v>598</v>
      </c>
      <c r="P948" s="36" t="s">
        <v>3141</v>
      </c>
    </row>
    <row r="949" s="92" customFormat="1" ht="20.1" customHeight="1" spans="1:16">
      <c r="A949" s="157" t="s">
        <v>3142</v>
      </c>
      <c r="B949" s="36" t="s">
        <v>3143</v>
      </c>
      <c r="C949" s="267"/>
      <c r="D949" s="268">
        <f t="shared" si="204"/>
        <v>0</v>
      </c>
      <c r="E949" s="267"/>
      <c r="F949" s="267"/>
      <c r="G949" s="267"/>
      <c r="H949" s="267"/>
      <c r="I949" s="287"/>
      <c r="J949" s="288"/>
      <c r="K949" s="276" t="s">
        <v>1087</v>
      </c>
      <c r="L949" s="33">
        <v>1</v>
      </c>
      <c r="M949" s="157" t="s">
        <v>3142</v>
      </c>
      <c r="N949" s="157"/>
      <c r="O949" s="157" t="s">
        <v>598</v>
      </c>
      <c r="P949" s="36" t="s">
        <v>3144</v>
      </c>
    </row>
    <row r="950" s="92" customFormat="1" ht="20.1" customHeight="1" spans="1:16">
      <c r="A950" s="157" t="s">
        <v>3145</v>
      </c>
      <c r="B950" s="36" t="s">
        <v>3146</v>
      </c>
      <c r="C950" s="267">
        <v>38</v>
      </c>
      <c r="D950" s="268">
        <f t="shared" si="204"/>
        <v>48</v>
      </c>
      <c r="E950" s="267">
        <v>40</v>
      </c>
      <c r="F950" s="267"/>
      <c r="G950" s="267">
        <v>5</v>
      </c>
      <c r="H950" s="267"/>
      <c r="I950" s="287">
        <v>3</v>
      </c>
      <c r="J950" s="288">
        <f t="shared" ref="J950:J1013" si="207">ROUND(IF(C950=0,IF(D950=0,0,1),IF(D950=0,-1,D950/C950)),4)*100</f>
        <v>126.32</v>
      </c>
      <c r="K950" s="276" t="s">
        <v>1087</v>
      </c>
      <c r="L950" s="33">
        <v>1</v>
      </c>
      <c r="M950" s="157" t="s">
        <v>3145</v>
      </c>
      <c r="N950" s="157"/>
      <c r="O950" s="157" t="s">
        <v>598</v>
      </c>
      <c r="P950" s="163" t="s">
        <v>3147</v>
      </c>
    </row>
    <row r="951" s="93" customFormat="1" ht="20.1" customHeight="1" spans="1:16">
      <c r="A951" s="263" t="s">
        <v>599</v>
      </c>
      <c r="B951" s="635" t="s">
        <v>3148</v>
      </c>
      <c r="C951" s="265">
        <f t="shared" ref="C951:I951" si="208">SUM(C952:C961)</f>
        <v>77182</v>
      </c>
      <c r="D951" s="265">
        <f t="shared" si="204"/>
        <v>46919</v>
      </c>
      <c r="E951" s="265">
        <f t="shared" si="208"/>
        <v>34884</v>
      </c>
      <c r="F951" s="265">
        <f t="shared" si="208"/>
        <v>0</v>
      </c>
      <c r="G951" s="265">
        <f t="shared" si="208"/>
        <v>7051</v>
      </c>
      <c r="H951" s="265">
        <f t="shared" si="208"/>
        <v>907</v>
      </c>
      <c r="I951" s="265">
        <f t="shared" si="208"/>
        <v>4077</v>
      </c>
      <c r="J951" s="298">
        <f t="shared" si="207"/>
        <v>60.79</v>
      </c>
      <c r="K951" s="284" t="s">
        <v>1082</v>
      </c>
      <c r="L951" s="285"/>
      <c r="M951" s="263" t="s">
        <v>599</v>
      </c>
      <c r="N951" s="263" t="s">
        <v>595</v>
      </c>
      <c r="O951" s="263" t="s">
        <v>599</v>
      </c>
      <c r="P951" s="286" t="s">
        <v>3149</v>
      </c>
    </row>
    <row r="952" s="253" customFormat="1" ht="20.1" customHeight="1" spans="1:17">
      <c r="A952" s="309" t="s">
        <v>3150</v>
      </c>
      <c r="B952" s="310" t="s">
        <v>1086</v>
      </c>
      <c r="C952" s="311">
        <v>1134</v>
      </c>
      <c r="D952" s="312">
        <f t="shared" si="204"/>
        <v>0</v>
      </c>
      <c r="E952" s="311"/>
      <c r="F952" s="311"/>
      <c r="G952" s="311"/>
      <c r="H952" s="311"/>
      <c r="I952" s="287"/>
      <c r="J952" s="313">
        <f t="shared" si="207"/>
        <v>-100</v>
      </c>
      <c r="K952" s="314" t="s">
        <v>1087</v>
      </c>
      <c r="L952" s="315">
        <v>1</v>
      </c>
      <c r="M952" s="309" t="s">
        <v>3150</v>
      </c>
      <c r="N952" s="309"/>
      <c r="O952" s="309" t="s">
        <v>599</v>
      </c>
      <c r="P952" s="316" t="s">
        <v>1088</v>
      </c>
      <c r="Q952" s="318" t="s">
        <v>3151</v>
      </c>
    </row>
    <row r="953" s="253" customFormat="1" ht="20.1" customHeight="1" spans="1:16">
      <c r="A953" s="309" t="s">
        <v>3152</v>
      </c>
      <c r="B953" s="310" t="s">
        <v>1090</v>
      </c>
      <c r="C953" s="311"/>
      <c r="D953" s="312">
        <f t="shared" si="204"/>
        <v>0</v>
      </c>
      <c r="E953" s="311"/>
      <c r="F953" s="311"/>
      <c r="G953" s="311"/>
      <c r="H953" s="311"/>
      <c r="I953" s="287"/>
      <c r="J953" s="313">
        <f t="shared" si="207"/>
        <v>0</v>
      </c>
      <c r="K953" s="314" t="s">
        <v>1087</v>
      </c>
      <c r="L953" s="315">
        <v>1</v>
      </c>
      <c r="M953" s="309" t="s">
        <v>3152</v>
      </c>
      <c r="N953" s="309"/>
      <c r="O953" s="309" t="s">
        <v>599</v>
      </c>
      <c r="P953" s="316" t="s">
        <v>1091</v>
      </c>
    </row>
    <row r="954" s="253" customFormat="1" ht="20.1" customHeight="1" spans="1:16">
      <c r="A954" s="309" t="s">
        <v>3153</v>
      </c>
      <c r="B954" s="310" t="s">
        <v>1093</v>
      </c>
      <c r="C954" s="311"/>
      <c r="D954" s="312">
        <f t="shared" si="204"/>
        <v>0</v>
      </c>
      <c r="E954" s="311"/>
      <c r="F954" s="311"/>
      <c r="G954" s="311"/>
      <c r="H954" s="311"/>
      <c r="I954" s="287"/>
      <c r="J954" s="313">
        <f t="shared" si="207"/>
        <v>0</v>
      </c>
      <c r="K954" s="314" t="s">
        <v>1087</v>
      </c>
      <c r="L954" s="315">
        <v>1</v>
      </c>
      <c r="M954" s="309" t="s">
        <v>3153</v>
      </c>
      <c r="N954" s="309"/>
      <c r="O954" s="309" t="s">
        <v>599</v>
      </c>
      <c r="P954" s="316" t="s">
        <v>1094</v>
      </c>
    </row>
    <row r="955" s="92" customFormat="1" ht="20.1" customHeight="1" spans="1:16">
      <c r="A955" s="157" t="s">
        <v>3154</v>
      </c>
      <c r="B955" s="36" t="s">
        <v>3155</v>
      </c>
      <c r="C955" s="267">
        <v>22818</v>
      </c>
      <c r="D955" s="268">
        <f t="shared" si="204"/>
        <v>18209</v>
      </c>
      <c r="E955" s="267">
        <f>45+15159</f>
        <v>15204</v>
      </c>
      <c r="F955" s="267"/>
      <c r="G955" s="267">
        <v>3005</v>
      </c>
      <c r="H955" s="267"/>
      <c r="I955" s="287"/>
      <c r="J955" s="288">
        <f t="shared" si="207"/>
        <v>79.8</v>
      </c>
      <c r="K955" s="276" t="s">
        <v>1087</v>
      </c>
      <c r="L955" s="33">
        <v>1</v>
      </c>
      <c r="M955" s="157" t="s">
        <v>3154</v>
      </c>
      <c r="N955" s="157"/>
      <c r="O955" s="157" t="s">
        <v>599</v>
      </c>
      <c r="P955" s="163" t="s">
        <v>3156</v>
      </c>
    </row>
    <row r="956" s="92" customFormat="1" ht="20.1" customHeight="1" spans="1:16">
      <c r="A956" s="157" t="s">
        <v>3157</v>
      </c>
      <c r="B956" s="36" t="s">
        <v>3158</v>
      </c>
      <c r="C956" s="267">
        <v>30461</v>
      </c>
      <c r="D956" s="268">
        <f t="shared" si="204"/>
        <v>18100</v>
      </c>
      <c r="E956" s="267">
        <v>17420</v>
      </c>
      <c r="F956" s="267"/>
      <c r="G956" s="267">
        <v>680</v>
      </c>
      <c r="H956" s="267"/>
      <c r="I956" s="287"/>
      <c r="J956" s="288">
        <f t="shared" si="207"/>
        <v>59.42</v>
      </c>
      <c r="K956" s="276" t="s">
        <v>1087</v>
      </c>
      <c r="L956" s="33">
        <v>1</v>
      </c>
      <c r="M956" s="157" t="s">
        <v>3157</v>
      </c>
      <c r="N956" s="157"/>
      <c r="O956" s="157" t="s">
        <v>599</v>
      </c>
      <c r="P956" s="163" t="s">
        <v>3159</v>
      </c>
    </row>
    <row r="957" s="92" customFormat="1" ht="20.1" customHeight="1" spans="1:16">
      <c r="A957" s="157" t="s">
        <v>3160</v>
      </c>
      <c r="B957" s="36" t="s">
        <v>3161</v>
      </c>
      <c r="C957" s="267">
        <v>1489</v>
      </c>
      <c r="D957" s="268">
        <f t="shared" si="204"/>
        <v>1000</v>
      </c>
      <c r="E957" s="267">
        <v>1000</v>
      </c>
      <c r="F957" s="267"/>
      <c r="G957" s="267"/>
      <c r="H957" s="267"/>
      <c r="I957" s="287"/>
      <c r="J957" s="288">
        <f t="shared" si="207"/>
        <v>67.16</v>
      </c>
      <c r="K957" s="276" t="s">
        <v>1087</v>
      </c>
      <c r="L957" s="33">
        <v>1</v>
      </c>
      <c r="M957" s="157" t="s">
        <v>3160</v>
      </c>
      <c r="N957" s="157"/>
      <c r="O957" s="157" t="s">
        <v>599</v>
      </c>
      <c r="P957" s="163" t="s">
        <v>3162</v>
      </c>
    </row>
    <row r="958" s="92" customFormat="1" ht="20.1" customHeight="1" spans="1:16">
      <c r="A958" s="157" t="s">
        <v>3163</v>
      </c>
      <c r="B958" s="36" t="s">
        <v>3164</v>
      </c>
      <c r="C958" s="267">
        <v>1591</v>
      </c>
      <c r="D958" s="268">
        <f t="shared" si="204"/>
        <v>26</v>
      </c>
      <c r="E958" s="267"/>
      <c r="F958" s="267"/>
      <c r="G958" s="267">
        <v>26</v>
      </c>
      <c r="H958" s="267"/>
      <c r="I958" s="287"/>
      <c r="J958" s="288">
        <f t="shared" si="207"/>
        <v>1.63</v>
      </c>
      <c r="K958" s="276" t="s">
        <v>1087</v>
      </c>
      <c r="L958" s="33">
        <v>1</v>
      </c>
      <c r="M958" s="157" t="s">
        <v>3163</v>
      </c>
      <c r="N958" s="157"/>
      <c r="O958" s="157" t="s">
        <v>599</v>
      </c>
      <c r="P958" s="163" t="s">
        <v>3165</v>
      </c>
    </row>
    <row r="959" s="92" customFormat="1" ht="20.1" customHeight="1" spans="1:16">
      <c r="A959" s="157" t="s">
        <v>3166</v>
      </c>
      <c r="B959" s="36" t="s">
        <v>3167</v>
      </c>
      <c r="C959" s="267"/>
      <c r="D959" s="268">
        <f t="shared" si="204"/>
        <v>0</v>
      </c>
      <c r="E959" s="267"/>
      <c r="F959" s="267"/>
      <c r="G959" s="267"/>
      <c r="H959" s="267"/>
      <c r="I959" s="287"/>
      <c r="J959" s="288">
        <f t="shared" si="207"/>
        <v>0</v>
      </c>
      <c r="K959" s="276" t="s">
        <v>1087</v>
      </c>
      <c r="L959" s="33">
        <v>1</v>
      </c>
      <c r="M959" s="157" t="s">
        <v>3166</v>
      </c>
      <c r="N959" s="157"/>
      <c r="O959" s="157" t="s">
        <v>599</v>
      </c>
      <c r="P959" s="163" t="s">
        <v>3168</v>
      </c>
    </row>
    <row r="960" s="253" customFormat="1" ht="20.1" customHeight="1" spans="1:17">
      <c r="A960" s="309" t="s">
        <v>3169</v>
      </c>
      <c r="B960" s="310" t="s">
        <v>1114</v>
      </c>
      <c r="C960" s="311">
        <v>80</v>
      </c>
      <c r="D960" s="312">
        <f t="shared" si="204"/>
        <v>0</v>
      </c>
      <c r="E960" s="311"/>
      <c r="F960" s="311"/>
      <c r="G960" s="311"/>
      <c r="H960" s="311"/>
      <c r="I960" s="287"/>
      <c r="J960" s="313">
        <f t="shared" si="207"/>
        <v>-100</v>
      </c>
      <c r="K960" s="314" t="s">
        <v>1087</v>
      </c>
      <c r="L960" s="315">
        <v>1</v>
      </c>
      <c r="M960" s="309" t="s">
        <v>3169</v>
      </c>
      <c r="N960" s="309"/>
      <c r="O960" s="309" t="s">
        <v>599</v>
      </c>
      <c r="P960" s="317" t="s">
        <v>3170</v>
      </c>
      <c r="Q960" s="319" t="s">
        <v>3151</v>
      </c>
    </row>
    <row r="961" s="92" customFormat="1" ht="20.1" customHeight="1" spans="1:16">
      <c r="A961" s="157" t="s">
        <v>3171</v>
      </c>
      <c r="B961" s="36" t="s">
        <v>3172</v>
      </c>
      <c r="C961" s="267">
        <v>19609</v>
      </c>
      <c r="D961" s="268">
        <f t="shared" si="204"/>
        <v>9584</v>
      </c>
      <c r="E961" s="267">
        <v>1260</v>
      </c>
      <c r="F961" s="267"/>
      <c r="G961" s="267">
        <v>3340</v>
      </c>
      <c r="H961" s="267">
        <v>907</v>
      </c>
      <c r="I961" s="287">
        <v>4077</v>
      </c>
      <c r="J961" s="288">
        <f t="shared" si="207"/>
        <v>48.88</v>
      </c>
      <c r="K961" s="276" t="s">
        <v>1087</v>
      </c>
      <c r="L961" s="33">
        <v>1</v>
      </c>
      <c r="M961" s="157" t="s">
        <v>3171</v>
      </c>
      <c r="N961" s="157"/>
      <c r="O961" s="157" t="s">
        <v>599</v>
      </c>
      <c r="P961" s="163" t="s">
        <v>3173</v>
      </c>
    </row>
    <row r="962" s="93" customFormat="1" ht="20.1" customHeight="1" spans="1:16">
      <c r="A962" s="263" t="s">
        <v>601</v>
      </c>
      <c r="B962" s="297" t="s">
        <v>3174</v>
      </c>
      <c r="C962" s="265">
        <f t="shared" ref="C962:I962" si="209">SUM(C963:C967)</f>
        <v>5045</v>
      </c>
      <c r="D962" s="265">
        <f t="shared" si="204"/>
        <v>9065</v>
      </c>
      <c r="E962" s="265">
        <f t="shared" si="209"/>
        <v>0</v>
      </c>
      <c r="F962" s="265">
        <f t="shared" si="209"/>
        <v>699</v>
      </c>
      <c r="G962" s="265">
        <f t="shared" si="209"/>
        <v>3518</v>
      </c>
      <c r="H962" s="265">
        <f t="shared" si="209"/>
        <v>0</v>
      </c>
      <c r="I962" s="265">
        <f t="shared" si="209"/>
        <v>4848</v>
      </c>
      <c r="J962" s="298">
        <f t="shared" si="207"/>
        <v>179.68</v>
      </c>
      <c r="K962" s="284" t="s">
        <v>1082</v>
      </c>
      <c r="L962" s="285"/>
      <c r="M962" s="263" t="s">
        <v>601</v>
      </c>
      <c r="N962" s="263" t="s">
        <v>595</v>
      </c>
      <c r="O962" s="263" t="s">
        <v>601</v>
      </c>
      <c r="P962" s="286" t="s">
        <v>3175</v>
      </c>
    </row>
    <row r="963" s="92" customFormat="1" ht="20.1" customHeight="1" spans="1:16">
      <c r="A963" s="157" t="s">
        <v>3176</v>
      </c>
      <c r="B963" s="36" t="s">
        <v>3177</v>
      </c>
      <c r="C963" s="267">
        <v>1121</v>
      </c>
      <c r="D963" s="268">
        <f t="shared" si="204"/>
        <v>4184</v>
      </c>
      <c r="E963" s="267"/>
      <c r="F963" s="267">
        <v>693</v>
      </c>
      <c r="G963" s="267">
        <v>3393</v>
      </c>
      <c r="H963" s="267"/>
      <c r="I963" s="287">
        <v>98</v>
      </c>
      <c r="J963" s="288">
        <f t="shared" si="207"/>
        <v>373.24</v>
      </c>
      <c r="K963" s="276" t="s">
        <v>1087</v>
      </c>
      <c r="L963" s="33">
        <v>1</v>
      </c>
      <c r="M963" s="157" t="s">
        <v>3176</v>
      </c>
      <c r="N963" s="157"/>
      <c r="O963" s="157" t="s">
        <v>601</v>
      </c>
      <c r="P963" s="163" t="s">
        <v>3178</v>
      </c>
    </row>
    <row r="964" s="92" customFormat="1" ht="20.1" customHeight="1" spans="1:16">
      <c r="A964" s="157" t="s">
        <v>3179</v>
      </c>
      <c r="B964" s="36" t="s">
        <v>3180</v>
      </c>
      <c r="C964" s="267">
        <v>3923</v>
      </c>
      <c r="D964" s="268">
        <f t="shared" si="204"/>
        <v>4750</v>
      </c>
      <c r="E964" s="267"/>
      <c r="F964" s="267"/>
      <c r="G964" s="267"/>
      <c r="H964" s="267"/>
      <c r="I964" s="287">
        <v>4750</v>
      </c>
      <c r="J964" s="288">
        <f t="shared" si="207"/>
        <v>121.08</v>
      </c>
      <c r="K964" s="276" t="s">
        <v>1087</v>
      </c>
      <c r="L964" s="33">
        <v>1</v>
      </c>
      <c r="M964" s="157" t="s">
        <v>3179</v>
      </c>
      <c r="N964" s="157"/>
      <c r="O964" s="157" t="s">
        <v>601</v>
      </c>
      <c r="P964" s="163" t="s">
        <v>3181</v>
      </c>
    </row>
    <row r="965" s="92" customFormat="1" ht="20.1" customHeight="1" spans="1:16">
      <c r="A965" s="157" t="s">
        <v>3182</v>
      </c>
      <c r="B965" s="36" t="s">
        <v>3183</v>
      </c>
      <c r="C965" s="267"/>
      <c r="D965" s="268">
        <f t="shared" si="204"/>
        <v>0</v>
      </c>
      <c r="E965" s="267"/>
      <c r="F965" s="267"/>
      <c r="G965" s="267"/>
      <c r="H965" s="267"/>
      <c r="I965" s="287"/>
      <c r="J965" s="288">
        <f t="shared" si="207"/>
        <v>0</v>
      </c>
      <c r="K965" s="276" t="s">
        <v>1087</v>
      </c>
      <c r="L965" s="33">
        <v>1</v>
      </c>
      <c r="M965" s="157" t="s">
        <v>3182</v>
      </c>
      <c r="N965" s="157"/>
      <c r="O965" s="157" t="s">
        <v>601</v>
      </c>
      <c r="P965" s="163" t="s">
        <v>3184</v>
      </c>
    </row>
    <row r="966" s="92" customFormat="1" ht="20.1" customHeight="1" spans="1:16">
      <c r="A966" s="157" t="s">
        <v>3185</v>
      </c>
      <c r="B966" s="36" t="s">
        <v>3186</v>
      </c>
      <c r="C966" s="267"/>
      <c r="D966" s="268">
        <f t="shared" ref="D966:D1029" si="210">SUM(E966:I966)</f>
        <v>112</v>
      </c>
      <c r="E966" s="267"/>
      <c r="F966" s="267"/>
      <c r="G966" s="267">
        <v>112</v>
      </c>
      <c r="H966" s="267"/>
      <c r="I966" s="287"/>
      <c r="J966" s="288">
        <f t="shared" si="207"/>
        <v>100</v>
      </c>
      <c r="K966" s="276" t="s">
        <v>1087</v>
      </c>
      <c r="L966" s="33">
        <v>1</v>
      </c>
      <c r="M966" s="157" t="s">
        <v>3185</v>
      </c>
      <c r="N966" s="157"/>
      <c r="O966" s="157" t="s">
        <v>601</v>
      </c>
      <c r="P966" s="163" t="s">
        <v>3187</v>
      </c>
    </row>
    <row r="967" s="92" customFormat="1" ht="20.1" customHeight="1" spans="1:16">
      <c r="A967" s="157" t="s">
        <v>3188</v>
      </c>
      <c r="B967" s="36" t="s">
        <v>3189</v>
      </c>
      <c r="C967" s="267">
        <v>1</v>
      </c>
      <c r="D967" s="268">
        <f t="shared" si="210"/>
        <v>19</v>
      </c>
      <c r="E967" s="267"/>
      <c r="F967" s="267">
        <v>6</v>
      </c>
      <c r="G967" s="267">
        <v>13</v>
      </c>
      <c r="H967" s="267"/>
      <c r="I967" s="287"/>
      <c r="J967" s="288">
        <f t="shared" si="207"/>
        <v>1900</v>
      </c>
      <c r="K967" s="276" t="s">
        <v>1087</v>
      </c>
      <c r="L967" s="33">
        <v>1</v>
      </c>
      <c r="M967" s="157" t="s">
        <v>3188</v>
      </c>
      <c r="N967" s="157"/>
      <c r="O967" s="157" t="s">
        <v>601</v>
      </c>
      <c r="P967" s="163" t="s">
        <v>3190</v>
      </c>
    </row>
    <row r="968" s="93" customFormat="1" ht="20.1" customHeight="1" spans="1:16">
      <c r="A968" s="263" t="s">
        <v>602</v>
      </c>
      <c r="B968" s="297" t="s">
        <v>3191</v>
      </c>
      <c r="C968" s="265">
        <f t="shared" ref="C968:I968" si="211">SUM(C969:C973)</f>
        <v>478</v>
      </c>
      <c r="D968" s="265">
        <f t="shared" si="210"/>
        <v>953</v>
      </c>
      <c r="E968" s="265">
        <f t="shared" si="211"/>
        <v>860</v>
      </c>
      <c r="F968" s="265">
        <f t="shared" si="211"/>
        <v>0</v>
      </c>
      <c r="G968" s="265">
        <f t="shared" si="211"/>
        <v>93</v>
      </c>
      <c r="H968" s="265">
        <f t="shared" si="211"/>
        <v>0</v>
      </c>
      <c r="I968" s="265">
        <f t="shared" si="211"/>
        <v>0</v>
      </c>
      <c r="J968" s="298">
        <f t="shared" si="207"/>
        <v>199.37</v>
      </c>
      <c r="K968" s="284" t="s">
        <v>1082</v>
      </c>
      <c r="L968" s="285"/>
      <c r="M968" s="263" t="s">
        <v>602</v>
      </c>
      <c r="N968" s="263" t="s">
        <v>595</v>
      </c>
      <c r="O968" s="263" t="s">
        <v>602</v>
      </c>
      <c r="P968" s="286" t="s">
        <v>3192</v>
      </c>
    </row>
    <row r="969" s="92" customFormat="1" ht="20.1" customHeight="1" spans="1:16">
      <c r="A969" s="157" t="s">
        <v>3193</v>
      </c>
      <c r="B969" s="36" t="s">
        <v>3194</v>
      </c>
      <c r="C969" s="320"/>
      <c r="D969" s="268">
        <f t="shared" si="210"/>
        <v>0</v>
      </c>
      <c r="E969" s="267"/>
      <c r="F969" s="267"/>
      <c r="G969" s="267"/>
      <c r="H969" s="267"/>
      <c r="I969" s="287"/>
      <c r="J969" s="288">
        <f t="shared" si="207"/>
        <v>0</v>
      </c>
      <c r="K969" s="276" t="s">
        <v>1087</v>
      </c>
      <c r="L969" s="33">
        <v>1</v>
      </c>
      <c r="M969" s="157" t="s">
        <v>3193</v>
      </c>
      <c r="N969" s="157"/>
      <c r="O969" s="157" t="s">
        <v>602</v>
      </c>
      <c r="P969" s="163" t="s">
        <v>3195</v>
      </c>
    </row>
    <row r="970" s="92" customFormat="1" ht="20.1" customHeight="1" spans="1:16">
      <c r="A970" s="157" t="s">
        <v>3196</v>
      </c>
      <c r="B970" s="36" t="s">
        <v>3197</v>
      </c>
      <c r="C970" s="320">
        <v>478</v>
      </c>
      <c r="D970" s="268">
        <f t="shared" si="210"/>
        <v>860</v>
      </c>
      <c r="E970" s="267">
        <v>860</v>
      </c>
      <c r="F970" s="267"/>
      <c r="G970" s="267"/>
      <c r="H970" s="267"/>
      <c r="I970" s="287"/>
      <c r="J970" s="288">
        <f t="shared" si="207"/>
        <v>179.92</v>
      </c>
      <c r="K970" s="276" t="s">
        <v>1087</v>
      </c>
      <c r="L970" s="33">
        <v>1</v>
      </c>
      <c r="M970" s="157" t="s">
        <v>3196</v>
      </c>
      <c r="N970" s="157"/>
      <c r="O970" s="157" t="s">
        <v>602</v>
      </c>
      <c r="P970" s="163" t="s">
        <v>3198</v>
      </c>
    </row>
    <row r="971" s="92" customFormat="1" ht="20.1" customHeight="1" spans="1:16">
      <c r="A971" s="157" t="s">
        <v>3199</v>
      </c>
      <c r="B971" s="36" t="s">
        <v>3200</v>
      </c>
      <c r="C971" s="320"/>
      <c r="D971" s="268">
        <f t="shared" si="210"/>
        <v>93</v>
      </c>
      <c r="E971" s="267"/>
      <c r="F971" s="267"/>
      <c r="G971" s="267">
        <v>93</v>
      </c>
      <c r="H971" s="267"/>
      <c r="I971" s="287"/>
      <c r="J971" s="288">
        <f t="shared" si="207"/>
        <v>100</v>
      </c>
      <c r="K971" s="276" t="s">
        <v>1087</v>
      </c>
      <c r="L971" s="33">
        <v>1</v>
      </c>
      <c r="M971" s="157" t="s">
        <v>3199</v>
      </c>
      <c r="N971" s="157"/>
      <c r="O971" s="157" t="s">
        <v>602</v>
      </c>
      <c r="P971" s="163" t="s">
        <v>3201</v>
      </c>
    </row>
    <row r="972" s="92" customFormat="1" ht="20.1" customHeight="1" spans="1:16">
      <c r="A972" s="157" t="s">
        <v>3202</v>
      </c>
      <c r="B972" s="36" t="s">
        <v>3203</v>
      </c>
      <c r="C972" s="320"/>
      <c r="D972" s="268">
        <f t="shared" si="210"/>
        <v>0</v>
      </c>
      <c r="E972" s="267"/>
      <c r="F972" s="267"/>
      <c r="G972" s="267"/>
      <c r="H972" s="267"/>
      <c r="I972" s="287"/>
      <c r="J972" s="288">
        <f t="shared" si="207"/>
        <v>0</v>
      </c>
      <c r="K972" s="276" t="s">
        <v>1087</v>
      </c>
      <c r="L972" s="33">
        <v>1</v>
      </c>
      <c r="M972" s="157" t="s">
        <v>3202</v>
      </c>
      <c r="N972" s="157"/>
      <c r="O972" s="157" t="s">
        <v>602</v>
      </c>
      <c r="P972" s="163" t="s">
        <v>3204</v>
      </c>
    </row>
    <row r="973" s="92" customFormat="1" ht="20.1" customHeight="1" spans="1:16">
      <c r="A973" s="157" t="s">
        <v>3205</v>
      </c>
      <c r="B973" s="36" t="s">
        <v>3206</v>
      </c>
      <c r="C973" s="267">
        <v>0</v>
      </c>
      <c r="D973" s="268">
        <f t="shared" si="210"/>
        <v>0</v>
      </c>
      <c r="E973" s="267"/>
      <c r="F973" s="267"/>
      <c r="G973" s="267"/>
      <c r="H973" s="267"/>
      <c r="I973" s="287"/>
      <c r="J973" s="288">
        <f t="shared" si="207"/>
        <v>0</v>
      </c>
      <c r="K973" s="276" t="s">
        <v>1087</v>
      </c>
      <c r="L973" s="33">
        <v>1</v>
      </c>
      <c r="M973" s="157" t="s">
        <v>3205</v>
      </c>
      <c r="N973" s="157"/>
      <c r="O973" s="157" t="s">
        <v>602</v>
      </c>
      <c r="P973" s="163" t="s">
        <v>3207</v>
      </c>
    </row>
    <row r="974" s="93" customFormat="1" ht="20.1" customHeight="1" spans="1:16">
      <c r="A974" s="263" t="s">
        <v>603</v>
      </c>
      <c r="B974" s="297" t="s">
        <v>3208</v>
      </c>
      <c r="C974" s="265">
        <f t="shared" ref="C974:I974" si="212">SUM(C975:C976)</f>
        <v>1</v>
      </c>
      <c r="D974" s="265">
        <f t="shared" si="210"/>
        <v>0</v>
      </c>
      <c r="E974" s="265">
        <f t="shared" si="212"/>
        <v>0</v>
      </c>
      <c r="F974" s="265">
        <f t="shared" si="212"/>
        <v>0</v>
      </c>
      <c r="G974" s="265">
        <f t="shared" si="212"/>
        <v>0</v>
      </c>
      <c r="H974" s="265">
        <f t="shared" si="212"/>
        <v>0</v>
      </c>
      <c r="I974" s="265">
        <f t="shared" si="212"/>
        <v>0</v>
      </c>
      <c r="J974" s="298">
        <f t="shared" si="207"/>
        <v>-100</v>
      </c>
      <c r="K974" s="284" t="s">
        <v>1082</v>
      </c>
      <c r="L974" s="285"/>
      <c r="M974" s="263" t="s">
        <v>603</v>
      </c>
      <c r="N974" s="263" t="s">
        <v>595</v>
      </c>
      <c r="O974" s="263" t="s">
        <v>603</v>
      </c>
      <c r="P974" s="286" t="s">
        <v>3209</v>
      </c>
    </row>
    <row r="975" s="92" customFormat="1" ht="20.1" customHeight="1" spans="1:16">
      <c r="A975" s="157" t="s">
        <v>3210</v>
      </c>
      <c r="B975" s="36" t="s">
        <v>3211</v>
      </c>
      <c r="C975" s="267">
        <v>0</v>
      </c>
      <c r="D975" s="268">
        <f t="shared" si="210"/>
        <v>0</v>
      </c>
      <c r="E975" s="267"/>
      <c r="F975" s="267"/>
      <c r="G975" s="267"/>
      <c r="H975" s="267"/>
      <c r="I975" s="287"/>
      <c r="J975" s="288">
        <f t="shared" si="207"/>
        <v>0</v>
      </c>
      <c r="K975" s="276" t="s">
        <v>1087</v>
      </c>
      <c r="L975" s="33">
        <v>1</v>
      </c>
      <c r="M975" s="157" t="s">
        <v>3210</v>
      </c>
      <c r="N975" s="157"/>
      <c r="O975" s="157" t="s">
        <v>603</v>
      </c>
      <c r="P975" s="163" t="s">
        <v>3212</v>
      </c>
    </row>
    <row r="976" s="92" customFormat="1" ht="20.1" customHeight="1" spans="1:16">
      <c r="A976" s="157" t="s">
        <v>3213</v>
      </c>
      <c r="B976" s="36" t="s">
        <v>3214</v>
      </c>
      <c r="C976" s="267">
        <v>1</v>
      </c>
      <c r="D976" s="268">
        <f t="shared" si="210"/>
        <v>0</v>
      </c>
      <c r="E976" s="267"/>
      <c r="F976" s="267"/>
      <c r="G976" s="267"/>
      <c r="H976" s="267"/>
      <c r="I976" s="287"/>
      <c r="J976" s="288">
        <f t="shared" si="207"/>
        <v>-100</v>
      </c>
      <c r="K976" s="276" t="s">
        <v>1087</v>
      </c>
      <c r="L976" s="33">
        <v>1</v>
      </c>
      <c r="M976" s="157" t="s">
        <v>3213</v>
      </c>
      <c r="N976" s="157"/>
      <c r="O976" s="157" t="s">
        <v>603</v>
      </c>
      <c r="P976" s="163" t="s">
        <v>3215</v>
      </c>
    </row>
    <row r="977" s="93" customFormat="1" ht="20.1" customHeight="1" spans="1:16">
      <c r="A977" s="263" t="s">
        <v>604</v>
      </c>
      <c r="B977" s="297" t="s">
        <v>3216</v>
      </c>
      <c r="C977" s="265">
        <f t="shared" ref="C977:I977" si="213">SUM(C978:C979)</f>
        <v>1706</v>
      </c>
      <c r="D977" s="265">
        <f t="shared" si="210"/>
        <v>18122</v>
      </c>
      <c r="E977" s="265">
        <f t="shared" si="213"/>
        <v>0</v>
      </c>
      <c r="F977" s="265">
        <f t="shared" si="213"/>
        <v>0</v>
      </c>
      <c r="G977" s="265">
        <f t="shared" si="213"/>
        <v>18122</v>
      </c>
      <c r="H977" s="265">
        <f t="shared" si="213"/>
        <v>0</v>
      </c>
      <c r="I977" s="265">
        <f t="shared" si="213"/>
        <v>0</v>
      </c>
      <c r="J977" s="298">
        <f t="shared" si="207"/>
        <v>1062.25</v>
      </c>
      <c r="K977" s="284" t="s">
        <v>1082</v>
      </c>
      <c r="L977" s="285"/>
      <c r="M977" s="263" t="s">
        <v>604</v>
      </c>
      <c r="N977" s="263" t="s">
        <v>595</v>
      </c>
      <c r="O977" s="263" t="s">
        <v>604</v>
      </c>
      <c r="P977" s="286" t="s">
        <v>3217</v>
      </c>
    </row>
    <row r="978" s="92" customFormat="1" ht="20.1" customHeight="1" spans="1:16">
      <c r="A978" s="157" t="s">
        <v>3218</v>
      </c>
      <c r="B978" s="36" t="s">
        <v>3219</v>
      </c>
      <c r="C978" s="267">
        <v>0</v>
      </c>
      <c r="D978" s="268">
        <f t="shared" si="210"/>
        <v>0</v>
      </c>
      <c r="E978" s="267"/>
      <c r="F978" s="267"/>
      <c r="G978" s="267"/>
      <c r="H978" s="267"/>
      <c r="I978" s="287"/>
      <c r="J978" s="288">
        <f t="shared" si="207"/>
        <v>0</v>
      </c>
      <c r="K978" s="276" t="s">
        <v>1087</v>
      </c>
      <c r="L978" s="33">
        <v>1</v>
      </c>
      <c r="M978" s="157" t="s">
        <v>3218</v>
      </c>
      <c r="N978" s="157"/>
      <c r="O978" s="157" t="s">
        <v>604</v>
      </c>
      <c r="P978" s="163" t="s">
        <v>3220</v>
      </c>
    </row>
    <row r="979" s="92" customFormat="1" ht="20.1" customHeight="1" spans="1:16">
      <c r="A979" s="157" t="s">
        <v>3221</v>
      </c>
      <c r="B979" s="36" t="s">
        <v>366</v>
      </c>
      <c r="C979" s="267">
        <v>1706</v>
      </c>
      <c r="D979" s="268">
        <f t="shared" si="210"/>
        <v>18122</v>
      </c>
      <c r="E979" s="267"/>
      <c r="F979" s="267"/>
      <c r="G979" s="267">
        <f>13742+4380</f>
        <v>18122</v>
      </c>
      <c r="H979" s="267"/>
      <c r="I979" s="287"/>
      <c r="J979" s="288">
        <f t="shared" si="207"/>
        <v>1062.25</v>
      </c>
      <c r="K979" s="276" t="s">
        <v>1087</v>
      </c>
      <c r="L979" s="33">
        <v>1</v>
      </c>
      <c r="M979" s="157" t="s">
        <v>3221</v>
      </c>
      <c r="N979" s="157"/>
      <c r="O979" s="157" t="s">
        <v>604</v>
      </c>
      <c r="P979" s="163" t="s">
        <v>3217</v>
      </c>
    </row>
    <row r="980" s="93" customFormat="1" ht="20.1" customHeight="1" spans="1:16">
      <c r="A980" s="154" t="s">
        <v>605</v>
      </c>
      <c r="B980" s="261" t="s">
        <v>367</v>
      </c>
      <c r="C980" s="262">
        <f t="shared" ref="C980:I980" si="214">C981+C1002+C1012+C1022+C1029</f>
        <v>2003</v>
      </c>
      <c r="D980" s="262">
        <f t="shared" si="210"/>
        <v>18242</v>
      </c>
      <c r="E980" s="262">
        <f t="shared" si="214"/>
        <v>791</v>
      </c>
      <c r="F980" s="262">
        <f t="shared" si="214"/>
        <v>85</v>
      </c>
      <c r="G980" s="262">
        <f t="shared" si="214"/>
        <v>14560</v>
      </c>
      <c r="H980" s="262">
        <f t="shared" si="214"/>
        <v>0</v>
      </c>
      <c r="I980" s="262">
        <f t="shared" si="214"/>
        <v>2806</v>
      </c>
      <c r="J980" s="279">
        <f t="shared" si="207"/>
        <v>910.73</v>
      </c>
      <c r="K980" s="280" t="s">
        <v>1081</v>
      </c>
      <c r="L980" s="281"/>
      <c r="M980" s="154" t="s">
        <v>605</v>
      </c>
      <c r="N980" s="154" t="s">
        <v>605</v>
      </c>
      <c r="O980" s="154" t="s">
        <v>605</v>
      </c>
      <c r="P980" s="282" t="s">
        <v>3222</v>
      </c>
    </row>
    <row r="981" s="93" customFormat="1" ht="20.1" customHeight="1" spans="1:16">
      <c r="A981" s="263" t="s">
        <v>606</v>
      </c>
      <c r="B981" s="297" t="s">
        <v>3223</v>
      </c>
      <c r="C981" s="265">
        <f t="shared" ref="C981:I981" si="215">SUM(C982:C1001)</f>
        <v>1651</v>
      </c>
      <c r="D981" s="265">
        <f t="shared" si="210"/>
        <v>18102</v>
      </c>
      <c r="E981" s="265">
        <f t="shared" si="215"/>
        <v>791</v>
      </c>
      <c r="F981" s="265">
        <f t="shared" si="215"/>
        <v>85</v>
      </c>
      <c r="G981" s="265">
        <f t="shared" si="215"/>
        <v>14428</v>
      </c>
      <c r="H981" s="265">
        <f t="shared" si="215"/>
        <v>0</v>
      </c>
      <c r="I981" s="265">
        <f t="shared" si="215"/>
        <v>2798</v>
      </c>
      <c r="J981" s="298">
        <f t="shared" si="207"/>
        <v>1096.43</v>
      </c>
      <c r="K981" s="284" t="s">
        <v>1082</v>
      </c>
      <c r="L981" s="285"/>
      <c r="M981" s="263" t="s">
        <v>606</v>
      </c>
      <c r="N981" s="263" t="s">
        <v>605</v>
      </c>
      <c r="O981" s="263" t="s">
        <v>606</v>
      </c>
      <c r="P981" s="286" t="s">
        <v>3224</v>
      </c>
    </row>
    <row r="982" s="92" customFormat="1" ht="20.1" customHeight="1" spans="1:16">
      <c r="A982" s="157" t="s">
        <v>3225</v>
      </c>
      <c r="B982" s="36" t="s">
        <v>1086</v>
      </c>
      <c r="C982" s="267">
        <v>414</v>
      </c>
      <c r="D982" s="268">
        <f t="shared" si="210"/>
        <v>372</v>
      </c>
      <c r="E982" s="267"/>
      <c r="F982" s="267"/>
      <c r="G982" s="267"/>
      <c r="H982" s="267"/>
      <c r="I982" s="287">
        <v>372</v>
      </c>
      <c r="J982" s="288">
        <f t="shared" si="207"/>
        <v>89.86</v>
      </c>
      <c r="K982" s="276" t="s">
        <v>1087</v>
      </c>
      <c r="L982" s="33">
        <v>1</v>
      </c>
      <c r="M982" s="157" t="s">
        <v>3225</v>
      </c>
      <c r="N982" s="157"/>
      <c r="O982" s="157" t="s">
        <v>606</v>
      </c>
      <c r="P982" s="164" t="s">
        <v>1088</v>
      </c>
    </row>
    <row r="983" s="92" customFormat="1" ht="20.1" customHeight="1" spans="1:16">
      <c r="A983" s="157" t="s">
        <v>3226</v>
      </c>
      <c r="B983" s="36" t="s">
        <v>1090</v>
      </c>
      <c r="C983" s="267"/>
      <c r="D983" s="268">
        <f t="shared" si="210"/>
        <v>0</v>
      </c>
      <c r="E983" s="267"/>
      <c r="F983" s="267"/>
      <c r="G983" s="267"/>
      <c r="H983" s="267"/>
      <c r="I983" s="287"/>
      <c r="J983" s="288">
        <f t="shared" si="207"/>
        <v>0</v>
      </c>
      <c r="K983" s="276" t="s">
        <v>1087</v>
      </c>
      <c r="L983" s="33">
        <v>1</v>
      </c>
      <c r="M983" s="157" t="s">
        <v>3226</v>
      </c>
      <c r="N983" s="157"/>
      <c r="O983" s="157" t="s">
        <v>606</v>
      </c>
      <c r="P983" s="164" t="s">
        <v>1091</v>
      </c>
    </row>
    <row r="984" s="92" customFormat="1" ht="20.1" customHeight="1" spans="1:16">
      <c r="A984" s="157" t="s">
        <v>3227</v>
      </c>
      <c r="B984" s="36" t="s">
        <v>1093</v>
      </c>
      <c r="C984" s="267"/>
      <c r="D984" s="268">
        <f t="shared" si="210"/>
        <v>0</v>
      </c>
      <c r="E984" s="267"/>
      <c r="F984" s="267"/>
      <c r="G984" s="267"/>
      <c r="H984" s="267"/>
      <c r="I984" s="287"/>
      <c r="J984" s="288">
        <f t="shared" si="207"/>
        <v>0</v>
      </c>
      <c r="K984" s="276" t="s">
        <v>1087</v>
      </c>
      <c r="L984" s="33">
        <v>1</v>
      </c>
      <c r="M984" s="157" t="s">
        <v>3227</v>
      </c>
      <c r="N984" s="157"/>
      <c r="O984" s="157" t="s">
        <v>606</v>
      </c>
      <c r="P984" s="164" t="s">
        <v>1094</v>
      </c>
    </row>
    <row r="985" s="92" customFormat="1" ht="20.1" customHeight="1" spans="1:16">
      <c r="A985" s="157" t="s">
        <v>3228</v>
      </c>
      <c r="B985" s="36" t="s">
        <v>867</v>
      </c>
      <c r="C985" s="267">
        <v>343</v>
      </c>
      <c r="D985" s="268">
        <f t="shared" si="210"/>
        <v>5930</v>
      </c>
      <c r="E985" s="267"/>
      <c r="F985" s="267">
        <v>85</v>
      </c>
      <c r="G985" s="267">
        <v>5845</v>
      </c>
      <c r="H985" s="267"/>
      <c r="I985" s="287"/>
      <c r="J985" s="288">
        <f t="shared" si="207"/>
        <v>1728.86</v>
      </c>
      <c r="K985" s="276" t="s">
        <v>1087</v>
      </c>
      <c r="L985" s="33">
        <v>1</v>
      </c>
      <c r="M985" s="157" t="s">
        <v>3228</v>
      </c>
      <c r="N985" s="157"/>
      <c r="O985" s="157" t="s">
        <v>606</v>
      </c>
      <c r="P985" s="163" t="s">
        <v>3229</v>
      </c>
    </row>
    <row r="986" s="92" customFormat="1" ht="20.1" customHeight="1" spans="1:16">
      <c r="A986" s="157" t="s">
        <v>3230</v>
      </c>
      <c r="B986" s="36" t="s">
        <v>868</v>
      </c>
      <c r="C986" s="267">
        <v>519</v>
      </c>
      <c r="D986" s="268">
        <f t="shared" si="210"/>
        <v>5150</v>
      </c>
      <c r="E986" s="267">
        <v>791</v>
      </c>
      <c r="F986" s="267"/>
      <c r="G986" s="267">
        <v>2006</v>
      </c>
      <c r="H986" s="267"/>
      <c r="I986" s="287">
        <v>2353</v>
      </c>
      <c r="J986" s="288">
        <f t="shared" si="207"/>
        <v>992.29</v>
      </c>
      <c r="K986" s="276" t="s">
        <v>1087</v>
      </c>
      <c r="L986" s="33">
        <v>1</v>
      </c>
      <c r="M986" s="157" t="s">
        <v>3230</v>
      </c>
      <c r="N986" s="157"/>
      <c r="O986" s="157" t="s">
        <v>606</v>
      </c>
      <c r="P986" s="164" t="s">
        <v>3231</v>
      </c>
    </row>
    <row r="987" s="92" customFormat="1" ht="20.1" customHeight="1" spans="1:16">
      <c r="A987" s="157" t="s">
        <v>3232</v>
      </c>
      <c r="B987" s="36" t="s">
        <v>3233</v>
      </c>
      <c r="C987" s="267">
        <v>1</v>
      </c>
      <c r="D987" s="268">
        <f t="shared" si="210"/>
        <v>0</v>
      </c>
      <c r="E987" s="267"/>
      <c r="F987" s="267"/>
      <c r="G987" s="267"/>
      <c r="H987" s="267"/>
      <c r="I987" s="287"/>
      <c r="J987" s="288">
        <f t="shared" si="207"/>
        <v>-100</v>
      </c>
      <c r="K987" s="276" t="s">
        <v>1087</v>
      </c>
      <c r="L987" s="33">
        <v>1</v>
      </c>
      <c r="M987" s="157" t="s">
        <v>3232</v>
      </c>
      <c r="N987" s="157"/>
      <c r="O987" s="157" t="s">
        <v>606</v>
      </c>
      <c r="P987" s="163" t="s">
        <v>3234</v>
      </c>
    </row>
    <row r="988" s="92" customFormat="1" ht="20.1" customHeight="1" spans="1:16">
      <c r="A988" s="157" t="s">
        <v>3235</v>
      </c>
      <c r="B988" s="36" t="s">
        <v>3236</v>
      </c>
      <c r="C988" s="267">
        <v>133</v>
      </c>
      <c r="D988" s="268">
        <f t="shared" si="210"/>
        <v>7</v>
      </c>
      <c r="E988" s="267"/>
      <c r="F988" s="267"/>
      <c r="G988" s="267">
        <v>7</v>
      </c>
      <c r="H988" s="267"/>
      <c r="I988" s="287"/>
      <c r="J988" s="288">
        <f t="shared" si="207"/>
        <v>5.26</v>
      </c>
      <c r="K988" s="276" t="s">
        <v>1087</v>
      </c>
      <c r="L988" s="33">
        <v>1</v>
      </c>
      <c r="M988" s="157" t="s">
        <v>3235</v>
      </c>
      <c r="N988" s="157"/>
      <c r="O988" s="157" t="s">
        <v>606</v>
      </c>
      <c r="P988" s="163" t="s">
        <v>3237</v>
      </c>
    </row>
    <row r="989" s="92" customFormat="1" ht="20.1" customHeight="1" spans="1:16">
      <c r="A989" s="157" t="s">
        <v>3238</v>
      </c>
      <c r="B989" s="36" t="s">
        <v>3239</v>
      </c>
      <c r="C989" s="267"/>
      <c r="D989" s="268">
        <f t="shared" si="210"/>
        <v>10</v>
      </c>
      <c r="E989" s="267"/>
      <c r="F989" s="267"/>
      <c r="G989" s="267"/>
      <c r="H989" s="267"/>
      <c r="I989" s="287">
        <v>10</v>
      </c>
      <c r="J989" s="288">
        <f t="shared" si="207"/>
        <v>100</v>
      </c>
      <c r="K989" s="276" t="s">
        <v>1087</v>
      </c>
      <c r="L989" s="33">
        <v>1</v>
      </c>
      <c r="M989" s="157" t="s">
        <v>3238</v>
      </c>
      <c r="N989" s="157"/>
      <c r="O989" s="157" t="s">
        <v>606</v>
      </c>
      <c r="P989" s="163" t="s">
        <v>3240</v>
      </c>
    </row>
    <row r="990" s="92" customFormat="1" ht="20.1" customHeight="1" spans="1:16">
      <c r="A990" s="157" t="s">
        <v>3241</v>
      </c>
      <c r="B990" s="36" t="s">
        <v>3242</v>
      </c>
      <c r="C990" s="267"/>
      <c r="D990" s="268">
        <f t="shared" si="210"/>
        <v>0</v>
      </c>
      <c r="E990" s="267"/>
      <c r="F990" s="267"/>
      <c r="G990" s="267"/>
      <c r="H990" s="267"/>
      <c r="I990" s="287"/>
      <c r="J990" s="288">
        <f t="shared" si="207"/>
        <v>0</v>
      </c>
      <c r="K990" s="276" t="s">
        <v>1087</v>
      </c>
      <c r="L990" s="33">
        <v>1</v>
      </c>
      <c r="M990" s="157" t="s">
        <v>3241</v>
      </c>
      <c r="N990" s="157"/>
      <c r="O990" s="157" t="s">
        <v>606</v>
      </c>
      <c r="P990" s="163" t="s">
        <v>3243</v>
      </c>
    </row>
    <row r="991" s="92" customFormat="1" ht="20.1" customHeight="1" spans="1:16">
      <c r="A991" s="157" t="s">
        <v>3244</v>
      </c>
      <c r="B991" s="36" t="s">
        <v>3245</v>
      </c>
      <c r="C991" s="267"/>
      <c r="D991" s="268">
        <f t="shared" si="210"/>
        <v>0</v>
      </c>
      <c r="E991" s="267"/>
      <c r="F991" s="267"/>
      <c r="G991" s="267"/>
      <c r="H991" s="267"/>
      <c r="I991" s="287"/>
      <c r="J991" s="288">
        <f t="shared" si="207"/>
        <v>0</v>
      </c>
      <c r="K991" s="276" t="s">
        <v>1087</v>
      </c>
      <c r="L991" s="33">
        <v>1</v>
      </c>
      <c r="M991" s="157" t="s">
        <v>3244</v>
      </c>
      <c r="N991" s="157"/>
      <c r="O991" s="157" t="s">
        <v>606</v>
      </c>
      <c r="P991" s="164" t="s">
        <v>3246</v>
      </c>
    </row>
    <row r="992" s="92" customFormat="1" ht="20.1" customHeight="1" spans="1:16">
      <c r="A992" s="157" t="s">
        <v>3247</v>
      </c>
      <c r="B992" s="36" t="s">
        <v>3248</v>
      </c>
      <c r="C992" s="267"/>
      <c r="D992" s="268">
        <f t="shared" si="210"/>
        <v>0</v>
      </c>
      <c r="E992" s="267"/>
      <c r="F992" s="267"/>
      <c r="G992" s="267"/>
      <c r="H992" s="267"/>
      <c r="I992" s="287"/>
      <c r="J992" s="288">
        <f t="shared" si="207"/>
        <v>0</v>
      </c>
      <c r="K992" s="276" t="s">
        <v>1087</v>
      </c>
      <c r="L992" s="33">
        <v>1</v>
      </c>
      <c r="M992" s="157" t="s">
        <v>3247</v>
      </c>
      <c r="N992" s="157"/>
      <c r="O992" s="157" t="s">
        <v>606</v>
      </c>
      <c r="P992" s="163" t="s">
        <v>3249</v>
      </c>
    </row>
    <row r="993" s="92" customFormat="1" ht="20.1" customHeight="1" spans="1:16">
      <c r="A993" s="157" t="s">
        <v>3250</v>
      </c>
      <c r="B993" s="36" t="s">
        <v>3251</v>
      </c>
      <c r="C993" s="267"/>
      <c r="D993" s="268">
        <f t="shared" si="210"/>
        <v>4</v>
      </c>
      <c r="E993" s="267"/>
      <c r="F993" s="267"/>
      <c r="G993" s="267"/>
      <c r="H993" s="267"/>
      <c r="I993" s="287">
        <v>4</v>
      </c>
      <c r="J993" s="288">
        <f t="shared" si="207"/>
        <v>100</v>
      </c>
      <c r="K993" s="276" t="s">
        <v>1087</v>
      </c>
      <c r="L993" s="33">
        <v>1</v>
      </c>
      <c r="M993" s="157" t="s">
        <v>3250</v>
      </c>
      <c r="N993" s="157"/>
      <c r="O993" s="157" t="s">
        <v>606</v>
      </c>
      <c r="P993" s="163" t="s">
        <v>3252</v>
      </c>
    </row>
    <row r="994" s="92" customFormat="1" ht="20.1" customHeight="1" spans="1:16">
      <c r="A994" s="157" t="s">
        <v>3253</v>
      </c>
      <c r="B994" s="36" t="s">
        <v>3254</v>
      </c>
      <c r="C994" s="267"/>
      <c r="D994" s="268">
        <f t="shared" si="210"/>
        <v>0</v>
      </c>
      <c r="E994" s="267"/>
      <c r="F994" s="267"/>
      <c r="G994" s="267"/>
      <c r="H994" s="267"/>
      <c r="I994" s="287"/>
      <c r="J994" s="288">
        <f t="shared" si="207"/>
        <v>0</v>
      </c>
      <c r="K994" s="276" t="s">
        <v>1087</v>
      </c>
      <c r="L994" s="33">
        <v>1</v>
      </c>
      <c r="M994" s="157" t="s">
        <v>3253</v>
      </c>
      <c r="N994" s="157"/>
      <c r="O994" s="157" t="s">
        <v>606</v>
      </c>
      <c r="P994" s="163" t="s">
        <v>3255</v>
      </c>
    </row>
    <row r="995" s="92" customFormat="1" ht="20.1" customHeight="1" spans="1:16">
      <c r="A995" s="157" t="s">
        <v>3256</v>
      </c>
      <c r="B995" s="36" t="s">
        <v>3257</v>
      </c>
      <c r="C995" s="267"/>
      <c r="D995" s="268">
        <f t="shared" si="210"/>
        <v>0</v>
      </c>
      <c r="E995" s="267"/>
      <c r="F995" s="267"/>
      <c r="G995" s="267"/>
      <c r="H995" s="267"/>
      <c r="I995" s="287"/>
      <c r="J995" s="288">
        <f t="shared" si="207"/>
        <v>0</v>
      </c>
      <c r="K995" s="276" t="s">
        <v>1087</v>
      </c>
      <c r="L995" s="33">
        <v>1</v>
      </c>
      <c r="M995" s="157" t="s">
        <v>3256</v>
      </c>
      <c r="N995" s="157"/>
      <c r="O995" s="157" t="s">
        <v>606</v>
      </c>
      <c r="P995" s="163" t="s">
        <v>3258</v>
      </c>
    </row>
    <row r="996" s="92" customFormat="1" ht="20.1" customHeight="1" spans="1:16">
      <c r="A996" s="157" t="s">
        <v>3259</v>
      </c>
      <c r="B996" s="36" t="s">
        <v>3260</v>
      </c>
      <c r="C996" s="267"/>
      <c r="D996" s="268">
        <f t="shared" si="210"/>
        <v>0</v>
      </c>
      <c r="E996" s="267"/>
      <c r="F996" s="267"/>
      <c r="G996" s="267"/>
      <c r="H996" s="267"/>
      <c r="I996" s="287"/>
      <c r="J996" s="288">
        <f t="shared" si="207"/>
        <v>0</v>
      </c>
      <c r="K996" s="276" t="s">
        <v>1087</v>
      </c>
      <c r="L996" s="33">
        <v>1</v>
      </c>
      <c r="M996" s="157" t="s">
        <v>3259</v>
      </c>
      <c r="N996" s="157"/>
      <c r="O996" s="157" t="s">
        <v>606</v>
      </c>
      <c r="P996" s="163" t="s">
        <v>3261</v>
      </c>
    </row>
    <row r="997" s="92" customFormat="1" ht="20.1" customHeight="1" spans="1:16">
      <c r="A997" s="157" t="s">
        <v>3262</v>
      </c>
      <c r="B997" s="36" t="s">
        <v>3263</v>
      </c>
      <c r="C997" s="267"/>
      <c r="D997" s="268">
        <f t="shared" si="210"/>
        <v>0</v>
      </c>
      <c r="E997" s="267"/>
      <c r="F997" s="267"/>
      <c r="G997" s="267"/>
      <c r="H997" s="267"/>
      <c r="I997" s="287"/>
      <c r="J997" s="288">
        <f t="shared" si="207"/>
        <v>0</v>
      </c>
      <c r="K997" s="276" t="s">
        <v>1087</v>
      </c>
      <c r="L997" s="33">
        <v>1</v>
      </c>
      <c r="M997" s="157" t="s">
        <v>3262</v>
      </c>
      <c r="N997" s="157"/>
      <c r="O997" s="157" t="s">
        <v>606</v>
      </c>
      <c r="P997" s="163" t="s">
        <v>3264</v>
      </c>
    </row>
    <row r="998" s="92" customFormat="1" ht="20.1" customHeight="1" spans="1:16">
      <c r="A998" s="157" t="s">
        <v>3265</v>
      </c>
      <c r="B998" s="36" t="s">
        <v>3266</v>
      </c>
      <c r="C998" s="267"/>
      <c r="D998" s="268">
        <f t="shared" si="210"/>
        <v>0</v>
      </c>
      <c r="E998" s="267"/>
      <c r="F998" s="267"/>
      <c r="G998" s="267"/>
      <c r="H998" s="267"/>
      <c r="I998" s="287"/>
      <c r="J998" s="288">
        <f t="shared" si="207"/>
        <v>0</v>
      </c>
      <c r="K998" s="276" t="s">
        <v>1087</v>
      </c>
      <c r="L998" s="33">
        <v>1</v>
      </c>
      <c r="M998" s="157" t="s">
        <v>3265</v>
      </c>
      <c r="N998" s="157"/>
      <c r="O998" s="157" t="s">
        <v>606</v>
      </c>
      <c r="P998" s="163" t="s">
        <v>3267</v>
      </c>
    </row>
    <row r="999" s="92" customFormat="1" ht="20.1" customHeight="1" spans="1:16">
      <c r="A999" s="157" t="s">
        <v>3268</v>
      </c>
      <c r="B999" s="36" t="s">
        <v>3269</v>
      </c>
      <c r="C999" s="267"/>
      <c r="D999" s="268">
        <f t="shared" si="210"/>
        <v>0</v>
      </c>
      <c r="E999" s="267"/>
      <c r="F999" s="267"/>
      <c r="G999" s="267"/>
      <c r="H999" s="267"/>
      <c r="I999" s="287"/>
      <c r="J999" s="288">
        <f t="shared" si="207"/>
        <v>0</v>
      </c>
      <c r="K999" s="276" t="s">
        <v>1087</v>
      </c>
      <c r="L999" s="33">
        <v>1</v>
      </c>
      <c r="M999" s="157" t="s">
        <v>3268</v>
      </c>
      <c r="N999" s="157"/>
      <c r="O999" s="157" t="s">
        <v>606</v>
      </c>
      <c r="P999" s="163" t="s">
        <v>3270</v>
      </c>
    </row>
    <row r="1000" s="92" customFormat="1" ht="20.1" customHeight="1" spans="1:16">
      <c r="A1000" s="157" t="s">
        <v>3271</v>
      </c>
      <c r="B1000" s="36" t="s">
        <v>3272</v>
      </c>
      <c r="C1000" s="267"/>
      <c r="D1000" s="268">
        <f t="shared" si="210"/>
        <v>0</v>
      </c>
      <c r="E1000" s="267"/>
      <c r="F1000" s="267"/>
      <c r="G1000" s="267"/>
      <c r="H1000" s="267"/>
      <c r="I1000" s="287"/>
      <c r="J1000" s="288">
        <f t="shared" si="207"/>
        <v>0</v>
      </c>
      <c r="K1000" s="276" t="s">
        <v>1087</v>
      </c>
      <c r="L1000" s="33">
        <v>1</v>
      </c>
      <c r="M1000" s="157" t="s">
        <v>3271</v>
      </c>
      <c r="N1000" s="157"/>
      <c r="O1000" s="157" t="s">
        <v>606</v>
      </c>
      <c r="P1000" s="163" t="s">
        <v>3273</v>
      </c>
    </row>
    <row r="1001" s="92" customFormat="1" ht="20.1" customHeight="1" spans="1:16">
      <c r="A1001" s="157" t="s">
        <v>3274</v>
      </c>
      <c r="B1001" s="36" t="s">
        <v>3275</v>
      </c>
      <c r="C1001" s="267">
        <v>241</v>
      </c>
      <c r="D1001" s="268">
        <f t="shared" si="210"/>
        <v>6629</v>
      </c>
      <c r="E1001" s="267"/>
      <c r="F1001" s="267"/>
      <c r="G1001" s="267">
        <f>6258+312</f>
        <v>6570</v>
      </c>
      <c r="H1001" s="267"/>
      <c r="I1001" s="287">
        <v>59</v>
      </c>
      <c r="J1001" s="288">
        <f t="shared" si="207"/>
        <v>2750.62</v>
      </c>
      <c r="K1001" s="276" t="s">
        <v>1087</v>
      </c>
      <c r="L1001" s="33">
        <v>1</v>
      </c>
      <c r="M1001" s="157" t="s">
        <v>3274</v>
      </c>
      <c r="N1001" s="157"/>
      <c r="O1001" s="157" t="s">
        <v>606</v>
      </c>
      <c r="P1001" s="163" t="s">
        <v>3276</v>
      </c>
    </row>
    <row r="1002" s="93" customFormat="1" ht="20.1" customHeight="1" spans="1:16">
      <c r="A1002" s="263" t="s">
        <v>607</v>
      </c>
      <c r="B1002" s="297" t="s">
        <v>3277</v>
      </c>
      <c r="C1002" s="265">
        <f t="shared" ref="C1002:I1002" si="216">SUM(C1003:C1011)</f>
        <v>0</v>
      </c>
      <c r="D1002" s="265">
        <f t="shared" si="210"/>
        <v>8</v>
      </c>
      <c r="E1002" s="265">
        <f t="shared" si="216"/>
        <v>0</v>
      </c>
      <c r="F1002" s="265">
        <f t="shared" si="216"/>
        <v>0</v>
      </c>
      <c r="G1002" s="265">
        <f t="shared" si="216"/>
        <v>0</v>
      </c>
      <c r="H1002" s="265">
        <f t="shared" si="216"/>
        <v>0</v>
      </c>
      <c r="I1002" s="265">
        <f t="shared" si="216"/>
        <v>8</v>
      </c>
      <c r="J1002" s="298">
        <f t="shared" si="207"/>
        <v>100</v>
      </c>
      <c r="K1002" s="284" t="s">
        <v>1082</v>
      </c>
      <c r="L1002" s="285"/>
      <c r="M1002" s="263" t="s">
        <v>607</v>
      </c>
      <c r="N1002" s="263" t="s">
        <v>605</v>
      </c>
      <c r="O1002" s="263" t="s">
        <v>607</v>
      </c>
      <c r="P1002" s="286" t="s">
        <v>3278</v>
      </c>
    </row>
    <row r="1003" s="92" customFormat="1" ht="20.1" customHeight="1" spans="1:16">
      <c r="A1003" s="157" t="s">
        <v>3279</v>
      </c>
      <c r="B1003" s="36" t="s">
        <v>1086</v>
      </c>
      <c r="C1003" s="267"/>
      <c r="D1003" s="268">
        <f t="shared" si="210"/>
        <v>8</v>
      </c>
      <c r="E1003" s="267"/>
      <c r="F1003" s="267"/>
      <c r="G1003" s="267"/>
      <c r="H1003" s="267"/>
      <c r="I1003" s="287">
        <v>8</v>
      </c>
      <c r="J1003" s="288">
        <f t="shared" si="207"/>
        <v>100</v>
      </c>
      <c r="K1003" s="276" t="s">
        <v>1087</v>
      </c>
      <c r="L1003" s="33">
        <v>1</v>
      </c>
      <c r="M1003" s="157" t="s">
        <v>3279</v>
      </c>
      <c r="N1003" s="157"/>
      <c r="O1003" s="157" t="s">
        <v>607</v>
      </c>
      <c r="P1003" s="164" t="s">
        <v>1088</v>
      </c>
    </row>
    <row r="1004" s="92" customFormat="1" ht="20.1" customHeight="1" spans="1:16">
      <c r="A1004" s="157" t="s">
        <v>3280</v>
      </c>
      <c r="B1004" s="36" t="s">
        <v>1090</v>
      </c>
      <c r="C1004" s="267"/>
      <c r="D1004" s="268">
        <f t="shared" si="210"/>
        <v>0</v>
      </c>
      <c r="E1004" s="267"/>
      <c r="F1004" s="267"/>
      <c r="G1004" s="267"/>
      <c r="H1004" s="267"/>
      <c r="I1004" s="287"/>
      <c r="J1004" s="288">
        <f t="shared" si="207"/>
        <v>0</v>
      </c>
      <c r="K1004" s="276" t="s">
        <v>1087</v>
      </c>
      <c r="L1004" s="33">
        <v>1</v>
      </c>
      <c r="M1004" s="157" t="s">
        <v>3280</v>
      </c>
      <c r="N1004" s="157"/>
      <c r="O1004" s="157" t="s">
        <v>607</v>
      </c>
      <c r="P1004" s="164" t="s">
        <v>1091</v>
      </c>
    </row>
    <row r="1005" s="92" customFormat="1" ht="20.1" customHeight="1" spans="1:16">
      <c r="A1005" s="157" t="s">
        <v>3281</v>
      </c>
      <c r="B1005" s="36" t="s">
        <v>1093</v>
      </c>
      <c r="C1005" s="267">
        <v>0</v>
      </c>
      <c r="D1005" s="268">
        <f t="shared" si="210"/>
        <v>0</v>
      </c>
      <c r="E1005" s="267"/>
      <c r="F1005" s="267"/>
      <c r="G1005" s="267"/>
      <c r="H1005" s="267"/>
      <c r="I1005" s="287"/>
      <c r="J1005" s="288">
        <f t="shared" si="207"/>
        <v>0</v>
      </c>
      <c r="K1005" s="276" t="s">
        <v>1087</v>
      </c>
      <c r="L1005" s="33">
        <v>1</v>
      </c>
      <c r="M1005" s="157" t="s">
        <v>3281</v>
      </c>
      <c r="N1005" s="157"/>
      <c r="O1005" s="157" t="s">
        <v>607</v>
      </c>
      <c r="P1005" s="164" t="s">
        <v>1094</v>
      </c>
    </row>
    <row r="1006" s="92" customFormat="1" ht="20.1" customHeight="1" spans="1:16">
      <c r="A1006" s="157" t="s">
        <v>3282</v>
      </c>
      <c r="B1006" s="36" t="s">
        <v>3283</v>
      </c>
      <c r="C1006" s="267">
        <v>0</v>
      </c>
      <c r="D1006" s="268">
        <f t="shared" si="210"/>
        <v>0</v>
      </c>
      <c r="E1006" s="267"/>
      <c r="F1006" s="267"/>
      <c r="G1006" s="267"/>
      <c r="H1006" s="267"/>
      <c r="I1006" s="287"/>
      <c r="J1006" s="288">
        <f t="shared" si="207"/>
        <v>0</v>
      </c>
      <c r="K1006" s="276" t="s">
        <v>1087</v>
      </c>
      <c r="L1006" s="33">
        <v>1</v>
      </c>
      <c r="M1006" s="157" t="s">
        <v>3282</v>
      </c>
      <c r="N1006" s="157"/>
      <c r="O1006" s="157" t="s">
        <v>607</v>
      </c>
      <c r="P1006" s="163" t="s">
        <v>3284</v>
      </c>
    </row>
    <row r="1007" s="92" customFormat="1" ht="20.1" customHeight="1" spans="1:16">
      <c r="A1007" s="157" t="s">
        <v>3285</v>
      </c>
      <c r="B1007" s="36" t="s">
        <v>3286</v>
      </c>
      <c r="C1007" s="267">
        <v>0</v>
      </c>
      <c r="D1007" s="268">
        <f t="shared" si="210"/>
        <v>0</v>
      </c>
      <c r="E1007" s="267"/>
      <c r="F1007" s="267"/>
      <c r="G1007" s="267"/>
      <c r="H1007" s="267"/>
      <c r="I1007" s="287"/>
      <c r="J1007" s="288">
        <f t="shared" si="207"/>
        <v>0</v>
      </c>
      <c r="K1007" s="276" t="s">
        <v>1087</v>
      </c>
      <c r="L1007" s="33">
        <v>1</v>
      </c>
      <c r="M1007" s="157" t="s">
        <v>3285</v>
      </c>
      <c r="N1007" s="157"/>
      <c r="O1007" s="157" t="s">
        <v>607</v>
      </c>
      <c r="P1007" s="163" t="s">
        <v>3287</v>
      </c>
    </row>
    <row r="1008" s="92" customFormat="1" ht="20.1" customHeight="1" spans="1:16">
      <c r="A1008" s="157" t="s">
        <v>3288</v>
      </c>
      <c r="B1008" s="36" t="s">
        <v>3289</v>
      </c>
      <c r="C1008" s="267">
        <v>0</v>
      </c>
      <c r="D1008" s="268">
        <f t="shared" si="210"/>
        <v>0</v>
      </c>
      <c r="E1008" s="267"/>
      <c r="F1008" s="267"/>
      <c r="G1008" s="267"/>
      <c r="H1008" s="267"/>
      <c r="I1008" s="287"/>
      <c r="J1008" s="288">
        <f t="shared" si="207"/>
        <v>0</v>
      </c>
      <c r="K1008" s="276" t="s">
        <v>1087</v>
      </c>
      <c r="L1008" s="33">
        <v>1</v>
      </c>
      <c r="M1008" s="157" t="s">
        <v>3288</v>
      </c>
      <c r="N1008" s="157"/>
      <c r="O1008" s="157" t="s">
        <v>607</v>
      </c>
      <c r="P1008" s="163" t="s">
        <v>3290</v>
      </c>
    </row>
    <row r="1009" s="92" customFormat="1" ht="20.1" customHeight="1" spans="1:16">
      <c r="A1009" s="157" t="s">
        <v>3291</v>
      </c>
      <c r="B1009" s="36" t="s">
        <v>3292</v>
      </c>
      <c r="C1009" s="267">
        <v>0</v>
      </c>
      <c r="D1009" s="268">
        <f t="shared" si="210"/>
        <v>0</v>
      </c>
      <c r="E1009" s="267"/>
      <c r="F1009" s="267"/>
      <c r="G1009" s="267"/>
      <c r="H1009" s="267"/>
      <c r="I1009" s="287"/>
      <c r="J1009" s="288">
        <f t="shared" si="207"/>
        <v>0</v>
      </c>
      <c r="K1009" s="276" t="s">
        <v>1087</v>
      </c>
      <c r="L1009" s="33">
        <v>1</v>
      </c>
      <c r="M1009" s="157" t="s">
        <v>3291</v>
      </c>
      <c r="N1009" s="157"/>
      <c r="O1009" s="157" t="s">
        <v>607</v>
      </c>
      <c r="P1009" s="163" t="s">
        <v>3293</v>
      </c>
    </row>
    <row r="1010" s="92" customFormat="1" ht="20.1" customHeight="1" spans="1:16">
      <c r="A1010" s="157" t="s">
        <v>3294</v>
      </c>
      <c r="B1010" s="36" t="s">
        <v>3295</v>
      </c>
      <c r="C1010" s="267">
        <v>0</v>
      </c>
      <c r="D1010" s="268">
        <f t="shared" si="210"/>
        <v>0</v>
      </c>
      <c r="E1010" s="267"/>
      <c r="F1010" s="267"/>
      <c r="G1010" s="267"/>
      <c r="H1010" s="267"/>
      <c r="I1010" s="287"/>
      <c r="J1010" s="288">
        <f t="shared" si="207"/>
        <v>0</v>
      </c>
      <c r="K1010" s="276" t="s">
        <v>1087</v>
      </c>
      <c r="L1010" s="33">
        <v>1</v>
      </c>
      <c r="M1010" s="157" t="s">
        <v>3294</v>
      </c>
      <c r="N1010" s="157"/>
      <c r="O1010" s="157" t="s">
        <v>607</v>
      </c>
      <c r="P1010" s="163" t="s">
        <v>3296</v>
      </c>
    </row>
    <row r="1011" s="92" customFormat="1" ht="20.1" customHeight="1" spans="1:16">
      <c r="A1011" s="157" t="s">
        <v>3297</v>
      </c>
      <c r="B1011" s="36" t="s">
        <v>3298</v>
      </c>
      <c r="C1011" s="267">
        <v>0</v>
      </c>
      <c r="D1011" s="268">
        <f t="shared" si="210"/>
        <v>0</v>
      </c>
      <c r="E1011" s="267"/>
      <c r="F1011" s="267"/>
      <c r="G1011" s="267"/>
      <c r="H1011" s="267"/>
      <c r="I1011" s="287"/>
      <c r="J1011" s="288">
        <f t="shared" si="207"/>
        <v>0</v>
      </c>
      <c r="K1011" s="276" t="s">
        <v>1087</v>
      </c>
      <c r="L1011" s="33">
        <v>1</v>
      </c>
      <c r="M1011" s="157" t="s">
        <v>3297</v>
      </c>
      <c r="N1011" s="157"/>
      <c r="O1011" s="157" t="s">
        <v>607</v>
      </c>
      <c r="P1011" s="163" t="s">
        <v>3299</v>
      </c>
    </row>
    <row r="1012" s="93" customFormat="1" ht="20.1" customHeight="1" spans="1:16">
      <c r="A1012" s="263" t="s">
        <v>608</v>
      </c>
      <c r="B1012" s="297" t="s">
        <v>3300</v>
      </c>
      <c r="C1012" s="265">
        <v>0</v>
      </c>
      <c r="D1012" s="265">
        <f t="shared" si="210"/>
        <v>0</v>
      </c>
      <c r="E1012" s="265">
        <f t="shared" ref="E1012:H1012" si="217">SUM(E1013:E1021)</f>
        <v>0</v>
      </c>
      <c r="F1012" s="265">
        <f t="shared" si="217"/>
        <v>0</v>
      </c>
      <c r="G1012" s="265">
        <f>VLOOKUP(A1012,[1]√表四、2024年公共财政支出变动表!$A$7:$R$214,18,FALSE)</f>
        <v>0</v>
      </c>
      <c r="H1012" s="265">
        <f t="shared" si="217"/>
        <v>0</v>
      </c>
      <c r="I1012" s="265"/>
      <c r="J1012" s="298">
        <f t="shared" si="207"/>
        <v>0</v>
      </c>
      <c r="K1012" s="284" t="s">
        <v>1082</v>
      </c>
      <c r="L1012" s="285"/>
      <c r="M1012" s="263" t="s">
        <v>608</v>
      </c>
      <c r="N1012" s="263" t="s">
        <v>605</v>
      </c>
      <c r="O1012" s="263" t="s">
        <v>608</v>
      </c>
      <c r="P1012" s="286" t="s">
        <v>3301</v>
      </c>
    </row>
    <row r="1013" s="92" customFormat="1" ht="20.1" customHeight="1" spans="1:16">
      <c r="A1013" s="157" t="s">
        <v>3302</v>
      </c>
      <c r="B1013" s="36" t="s">
        <v>1086</v>
      </c>
      <c r="C1013" s="267">
        <v>0</v>
      </c>
      <c r="D1013" s="268">
        <f t="shared" si="210"/>
        <v>0</v>
      </c>
      <c r="E1013" s="267"/>
      <c r="F1013" s="267"/>
      <c r="G1013" s="267"/>
      <c r="H1013" s="267"/>
      <c r="I1013" s="287"/>
      <c r="J1013" s="288">
        <f t="shared" si="207"/>
        <v>0</v>
      </c>
      <c r="K1013" s="276" t="s">
        <v>1087</v>
      </c>
      <c r="L1013" s="33">
        <v>1</v>
      </c>
      <c r="M1013" s="157" t="s">
        <v>3302</v>
      </c>
      <c r="N1013" s="157"/>
      <c r="O1013" s="157" t="s">
        <v>608</v>
      </c>
      <c r="P1013" s="164" t="s">
        <v>1088</v>
      </c>
    </row>
    <row r="1014" s="92" customFormat="1" ht="20.1" customHeight="1" spans="1:16">
      <c r="A1014" s="157" t="s">
        <v>3303</v>
      </c>
      <c r="B1014" s="36" t="s">
        <v>1090</v>
      </c>
      <c r="C1014" s="267">
        <v>0</v>
      </c>
      <c r="D1014" s="268">
        <f t="shared" si="210"/>
        <v>0</v>
      </c>
      <c r="E1014" s="267"/>
      <c r="F1014" s="267"/>
      <c r="G1014" s="267"/>
      <c r="H1014" s="267"/>
      <c r="I1014" s="287"/>
      <c r="J1014" s="288">
        <f t="shared" ref="J1014:J1077" si="218">ROUND(IF(C1014=0,IF(D1014=0,0,1),IF(D1014=0,-1,D1014/C1014)),4)*100</f>
        <v>0</v>
      </c>
      <c r="K1014" s="276" t="s">
        <v>1087</v>
      </c>
      <c r="L1014" s="33">
        <v>1</v>
      </c>
      <c r="M1014" s="157" t="s">
        <v>3303</v>
      </c>
      <c r="N1014" s="157"/>
      <c r="O1014" s="157" t="s">
        <v>608</v>
      </c>
      <c r="P1014" s="164" t="s">
        <v>1091</v>
      </c>
    </row>
    <row r="1015" s="92" customFormat="1" ht="20.1" customHeight="1" spans="1:16">
      <c r="A1015" s="157" t="s">
        <v>3304</v>
      </c>
      <c r="B1015" s="36" t="s">
        <v>1093</v>
      </c>
      <c r="C1015" s="267">
        <v>0</v>
      </c>
      <c r="D1015" s="268">
        <f t="shared" si="210"/>
        <v>0</v>
      </c>
      <c r="E1015" s="267"/>
      <c r="F1015" s="267"/>
      <c r="G1015" s="267"/>
      <c r="H1015" s="267"/>
      <c r="I1015" s="287"/>
      <c r="J1015" s="288">
        <f t="shared" si="218"/>
        <v>0</v>
      </c>
      <c r="K1015" s="276" t="s">
        <v>1087</v>
      </c>
      <c r="L1015" s="33">
        <v>1</v>
      </c>
      <c r="M1015" s="157" t="s">
        <v>3304</v>
      </c>
      <c r="N1015" s="157"/>
      <c r="O1015" s="157" t="s">
        <v>608</v>
      </c>
      <c r="P1015" s="164" t="s">
        <v>1094</v>
      </c>
    </row>
    <row r="1016" s="92" customFormat="1" ht="20.1" customHeight="1" spans="1:16">
      <c r="A1016" s="157" t="s">
        <v>3305</v>
      </c>
      <c r="B1016" s="36" t="s">
        <v>3306</v>
      </c>
      <c r="C1016" s="267">
        <v>0</v>
      </c>
      <c r="D1016" s="268">
        <f t="shared" si="210"/>
        <v>0</v>
      </c>
      <c r="E1016" s="267"/>
      <c r="F1016" s="267"/>
      <c r="G1016" s="267"/>
      <c r="H1016" s="267"/>
      <c r="I1016" s="287"/>
      <c r="J1016" s="288">
        <f t="shared" si="218"/>
        <v>0</v>
      </c>
      <c r="K1016" s="276" t="s">
        <v>1087</v>
      </c>
      <c r="L1016" s="33">
        <v>1</v>
      </c>
      <c r="M1016" s="157" t="s">
        <v>3305</v>
      </c>
      <c r="N1016" s="157"/>
      <c r="O1016" s="157" t="s">
        <v>608</v>
      </c>
      <c r="P1016" s="163" t="s">
        <v>3307</v>
      </c>
    </row>
    <row r="1017" s="92" customFormat="1" ht="20.1" customHeight="1" spans="1:16">
      <c r="A1017" s="157" t="s">
        <v>3308</v>
      </c>
      <c r="B1017" s="36" t="s">
        <v>893</v>
      </c>
      <c r="C1017" s="267">
        <v>0</v>
      </c>
      <c r="D1017" s="268">
        <f t="shared" si="210"/>
        <v>0</v>
      </c>
      <c r="E1017" s="267"/>
      <c r="F1017" s="267"/>
      <c r="G1017" s="267"/>
      <c r="H1017" s="267"/>
      <c r="I1017" s="287"/>
      <c r="J1017" s="288">
        <f t="shared" si="218"/>
        <v>0</v>
      </c>
      <c r="K1017" s="276" t="s">
        <v>1087</v>
      </c>
      <c r="L1017" s="33">
        <v>1</v>
      </c>
      <c r="M1017" s="157" t="s">
        <v>3308</v>
      </c>
      <c r="N1017" s="157"/>
      <c r="O1017" s="157" t="s">
        <v>608</v>
      </c>
      <c r="P1017" s="164" t="s">
        <v>3309</v>
      </c>
    </row>
    <row r="1018" s="92" customFormat="1" ht="20.1" customHeight="1" spans="1:16">
      <c r="A1018" s="157" t="s">
        <v>3310</v>
      </c>
      <c r="B1018" s="36" t="s">
        <v>3311</v>
      </c>
      <c r="C1018" s="267">
        <v>0</v>
      </c>
      <c r="D1018" s="268">
        <f t="shared" si="210"/>
        <v>0</v>
      </c>
      <c r="E1018" s="267"/>
      <c r="F1018" s="267"/>
      <c r="G1018" s="267"/>
      <c r="H1018" s="267"/>
      <c r="I1018" s="287"/>
      <c r="J1018" s="288">
        <f t="shared" si="218"/>
        <v>0</v>
      </c>
      <c r="K1018" s="276" t="s">
        <v>1087</v>
      </c>
      <c r="L1018" s="33">
        <v>1</v>
      </c>
      <c r="M1018" s="157" t="s">
        <v>3310</v>
      </c>
      <c r="N1018" s="157"/>
      <c r="O1018" s="157" t="s">
        <v>608</v>
      </c>
      <c r="P1018" s="163" t="s">
        <v>3312</v>
      </c>
    </row>
    <row r="1019" s="92" customFormat="1" ht="20.1" customHeight="1" spans="1:16">
      <c r="A1019" s="157" t="s">
        <v>3313</v>
      </c>
      <c r="B1019" s="36" t="s">
        <v>3314</v>
      </c>
      <c r="C1019" s="267">
        <v>0</v>
      </c>
      <c r="D1019" s="268">
        <f t="shared" si="210"/>
        <v>0</v>
      </c>
      <c r="E1019" s="267"/>
      <c r="F1019" s="267"/>
      <c r="G1019" s="267"/>
      <c r="H1019" s="267"/>
      <c r="I1019" s="287"/>
      <c r="J1019" s="288">
        <f t="shared" si="218"/>
        <v>0</v>
      </c>
      <c r="K1019" s="276" t="s">
        <v>1087</v>
      </c>
      <c r="L1019" s="33">
        <v>1</v>
      </c>
      <c r="M1019" s="157" t="s">
        <v>3313</v>
      </c>
      <c r="N1019" s="157"/>
      <c r="O1019" s="157" t="s">
        <v>608</v>
      </c>
      <c r="P1019" s="163" t="s">
        <v>3315</v>
      </c>
    </row>
    <row r="1020" s="92" customFormat="1" ht="20.1" customHeight="1" spans="1:16">
      <c r="A1020" s="157" t="s">
        <v>3316</v>
      </c>
      <c r="B1020" s="36" t="s">
        <v>3317</v>
      </c>
      <c r="C1020" s="267">
        <v>0</v>
      </c>
      <c r="D1020" s="268">
        <f t="shared" si="210"/>
        <v>0</v>
      </c>
      <c r="E1020" s="267"/>
      <c r="F1020" s="267"/>
      <c r="G1020" s="267"/>
      <c r="H1020" s="267"/>
      <c r="I1020" s="287"/>
      <c r="J1020" s="288">
        <f t="shared" si="218"/>
        <v>0</v>
      </c>
      <c r="K1020" s="276" t="s">
        <v>1087</v>
      </c>
      <c r="L1020" s="33">
        <v>1</v>
      </c>
      <c r="M1020" s="157" t="s">
        <v>3316</v>
      </c>
      <c r="N1020" s="157"/>
      <c r="O1020" s="157" t="s">
        <v>608</v>
      </c>
      <c r="P1020" s="163" t="s">
        <v>3318</v>
      </c>
    </row>
    <row r="1021" s="92" customFormat="1" ht="20.1" customHeight="1" spans="1:16">
      <c r="A1021" s="157" t="s">
        <v>3319</v>
      </c>
      <c r="B1021" s="36" t="s">
        <v>3320</v>
      </c>
      <c r="C1021" s="267">
        <v>0</v>
      </c>
      <c r="D1021" s="268">
        <f t="shared" si="210"/>
        <v>0</v>
      </c>
      <c r="E1021" s="267"/>
      <c r="F1021" s="267"/>
      <c r="G1021" s="267"/>
      <c r="H1021" s="267"/>
      <c r="I1021" s="287"/>
      <c r="J1021" s="288">
        <f t="shared" si="218"/>
        <v>0</v>
      </c>
      <c r="K1021" s="276" t="s">
        <v>1087</v>
      </c>
      <c r="L1021" s="33">
        <v>1</v>
      </c>
      <c r="M1021" s="157" t="s">
        <v>3319</v>
      </c>
      <c r="N1021" s="157"/>
      <c r="O1021" s="157" t="s">
        <v>608</v>
      </c>
      <c r="P1021" s="163" t="s">
        <v>3321</v>
      </c>
    </row>
    <row r="1022" s="93" customFormat="1" ht="20.1" customHeight="1" spans="1:16">
      <c r="A1022" s="263" t="s">
        <v>610</v>
      </c>
      <c r="B1022" s="297" t="s">
        <v>3322</v>
      </c>
      <c r="C1022" s="265">
        <v>0</v>
      </c>
      <c r="D1022" s="265">
        <f t="shared" si="210"/>
        <v>0</v>
      </c>
      <c r="E1022" s="265">
        <f t="shared" ref="E1022:H1022" si="219">SUM(E1023:E1028)</f>
        <v>0</v>
      </c>
      <c r="F1022" s="265">
        <f t="shared" si="219"/>
        <v>0</v>
      </c>
      <c r="G1022" s="265">
        <f>VLOOKUP(A1022,[1]√表四、2024年公共财政支出变动表!$A$7:$R$214,18,FALSE)</f>
        <v>0</v>
      </c>
      <c r="H1022" s="265">
        <f t="shared" si="219"/>
        <v>0</v>
      </c>
      <c r="I1022" s="265"/>
      <c r="J1022" s="298">
        <f t="shared" si="218"/>
        <v>0</v>
      </c>
      <c r="K1022" s="284" t="s">
        <v>1082</v>
      </c>
      <c r="L1022" s="285"/>
      <c r="M1022" s="263" t="s">
        <v>610</v>
      </c>
      <c r="N1022" s="263" t="s">
        <v>605</v>
      </c>
      <c r="O1022" s="263" t="s">
        <v>610</v>
      </c>
      <c r="P1022" s="286" t="s">
        <v>3323</v>
      </c>
    </row>
    <row r="1023" s="92" customFormat="1" ht="20.1" customHeight="1" spans="1:16">
      <c r="A1023" s="157" t="s">
        <v>3324</v>
      </c>
      <c r="B1023" s="36" t="s">
        <v>1086</v>
      </c>
      <c r="C1023" s="267">
        <v>0</v>
      </c>
      <c r="D1023" s="268">
        <f t="shared" si="210"/>
        <v>0</v>
      </c>
      <c r="E1023" s="267"/>
      <c r="F1023" s="267"/>
      <c r="G1023" s="267"/>
      <c r="H1023" s="267"/>
      <c r="I1023" s="287"/>
      <c r="J1023" s="288">
        <f t="shared" si="218"/>
        <v>0</v>
      </c>
      <c r="K1023" s="276" t="s">
        <v>1087</v>
      </c>
      <c r="L1023" s="33">
        <v>1</v>
      </c>
      <c r="M1023" s="157" t="s">
        <v>3324</v>
      </c>
      <c r="N1023" s="157"/>
      <c r="O1023" s="157" t="s">
        <v>610</v>
      </c>
      <c r="P1023" s="164" t="s">
        <v>1088</v>
      </c>
    </row>
    <row r="1024" s="92" customFormat="1" ht="20.1" customHeight="1" spans="1:16">
      <c r="A1024" s="157" t="s">
        <v>3325</v>
      </c>
      <c r="B1024" s="36" t="s">
        <v>1090</v>
      </c>
      <c r="C1024" s="267"/>
      <c r="D1024" s="268">
        <f t="shared" si="210"/>
        <v>0</v>
      </c>
      <c r="E1024" s="267"/>
      <c r="F1024" s="267"/>
      <c r="G1024" s="267"/>
      <c r="H1024" s="267"/>
      <c r="I1024" s="287"/>
      <c r="J1024" s="288">
        <f t="shared" si="218"/>
        <v>0</v>
      </c>
      <c r="K1024" s="276" t="s">
        <v>1087</v>
      </c>
      <c r="L1024" s="33">
        <v>1</v>
      </c>
      <c r="M1024" s="157" t="s">
        <v>3325</v>
      </c>
      <c r="N1024" s="157"/>
      <c r="O1024" s="157" t="s">
        <v>610</v>
      </c>
      <c r="P1024" s="164" t="s">
        <v>1091</v>
      </c>
    </row>
    <row r="1025" s="92" customFormat="1" ht="20.1" customHeight="1" spans="1:16">
      <c r="A1025" s="157" t="s">
        <v>3326</v>
      </c>
      <c r="B1025" s="36" t="s">
        <v>1093</v>
      </c>
      <c r="C1025" s="267">
        <v>0</v>
      </c>
      <c r="D1025" s="268">
        <f t="shared" si="210"/>
        <v>0</v>
      </c>
      <c r="E1025" s="267"/>
      <c r="F1025" s="267"/>
      <c r="G1025" s="267"/>
      <c r="H1025" s="267"/>
      <c r="I1025" s="287"/>
      <c r="J1025" s="288">
        <f t="shared" si="218"/>
        <v>0</v>
      </c>
      <c r="K1025" s="276" t="s">
        <v>1087</v>
      </c>
      <c r="L1025" s="33">
        <v>1</v>
      </c>
      <c r="M1025" s="157" t="s">
        <v>3326</v>
      </c>
      <c r="N1025" s="157"/>
      <c r="O1025" s="157" t="s">
        <v>610</v>
      </c>
      <c r="P1025" s="164" t="s">
        <v>1094</v>
      </c>
    </row>
    <row r="1026" s="92" customFormat="1" ht="20.1" customHeight="1" spans="1:16">
      <c r="A1026" s="157" t="s">
        <v>3327</v>
      </c>
      <c r="B1026" s="36" t="s">
        <v>3295</v>
      </c>
      <c r="C1026" s="267">
        <v>0</v>
      </c>
      <c r="D1026" s="268">
        <f t="shared" si="210"/>
        <v>0</v>
      </c>
      <c r="E1026" s="267"/>
      <c r="F1026" s="267"/>
      <c r="G1026" s="267"/>
      <c r="H1026" s="267"/>
      <c r="I1026" s="287"/>
      <c r="J1026" s="288">
        <f t="shared" si="218"/>
        <v>0</v>
      </c>
      <c r="K1026" s="276" t="s">
        <v>1087</v>
      </c>
      <c r="L1026" s="33">
        <v>1</v>
      </c>
      <c r="M1026" s="157" t="s">
        <v>3327</v>
      </c>
      <c r="N1026" s="157"/>
      <c r="O1026" s="157" t="s">
        <v>610</v>
      </c>
      <c r="P1026" s="164" t="s">
        <v>3296</v>
      </c>
    </row>
    <row r="1027" s="92" customFormat="1" ht="20.1" customHeight="1" spans="1:16">
      <c r="A1027" s="157" t="s">
        <v>3328</v>
      </c>
      <c r="B1027" s="36" t="s">
        <v>3329</v>
      </c>
      <c r="C1027" s="267">
        <v>0</v>
      </c>
      <c r="D1027" s="268">
        <f t="shared" si="210"/>
        <v>0</v>
      </c>
      <c r="E1027" s="267"/>
      <c r="F1027" s="267"/>
      <c r="G1027" s="267"/>
      <c r="H1027" s="267"/>
      <c r="I1027" s="287"/>
      <c r="J1027" s="288">
        <f t="shared" si="218"/>
        <v>0</v>
      </c>
      <c r="K1027" s="276" t="s">
        <v>1087</v>
      </c>
      <c r="L1027" s="33">
        <v>1</v>
      </c>
      <c r="M1027" s="157" t="s">
        <v>3328</v>
      </c>
      <c r="N1027" s="157"/>
      <c r="O1027" s="157" t="s">
        <v>610</v>
      </c>
      <c r="P1027" s="163" t="s">
        <v>3330</v>
      </c>
    </row>
    <row r="1028" s="92" customFormat="1" ht="20.1" customHeight="1" spans="1:16">
      <c r="A1028" s="157" t="s">
        <v>3331</v>
      </c>
      <c r="B1028" s="36" t="s">
        <v>3332</v>
      </c>
      <c r="C1028" s="267">
        <v>0</v>
      </c>
      <c r="D1028" s="268">
        <f t="shared" si="210"/>
        <v>0</v>
      </c>
      <c r="E1028" s="267"/>
      <c r="F1028" s="267"/>
      <c r="G1028" s="267"/>
      <c r="H1028" s="267"/>
      <c r="I1028" s="287"/>
      <c r="J1028" s="288">
        <f t="shared" si="218"/>
        <v>0</v>
      </c>
      <c r="K1028" s="276" t="s">
        <v>1087</v>
      </c>
      <c r="L1028" s="33">
        <v>1</v>
      </c>
      <c r="M1028" s="157" t="s">
        <v>3331</v>
      </c>
      <c r="N1028" s="157"/>
      <c r="O1028" s="157" t="s">
        <v>610</v>
      </c>
      <c r="P1028" s="163" t="s">
        <v>3333</v>
      </c>
    </row>
    <row r="1029" s="93" customFormat="1" ht="20.1" customHeight="1" spans="1:16">
      <c r="A1029" s="263" t="s">
        <v>612</v>
      </c>
      <c r="B1029" s="297" t="s">
        <v>3334</v>
      </c>
      <c r="C1029" s="265">
        <f t="shared" ref="C1029:H1029" si="220">SUM(C1030:C1031)</f>
        <v>352</v>
      </c>
      <c r="D1029" s="265">
        <f t="shared" si="210"/>
        <v>132</v>
      </c>
      <c r="E1029" s="265">
        <f t="shared" si="220"/>
        <v>0</v>
      </c>
      <c r="F1029" s="265">
        <f t="shared" si="220"/>
        <v>0</v>
      </c>
      <c r="G1029" s="265">
        <f t="shared" si="220"/>
        <v>132</v>
      </c>
      <c r="H1029" s="265">
        <f t="shared" si="220"/>
        <v>0</v>
      </c>
      <c r="I1029" s="265"/>
      <c r="J1029" s="298">
        <f t="shared" si="218"/>
        <v>37.5</v>
      </c>
      <c r="K1029" s="284" t="s">
        <v>1082</v>
      </c>
      <c r="L1029" s="285"/>
      <c r="M1029" s="263" t="s">
        <v>612</v>
      </c>
      <c r="N1029" s="263" t="s">
        <v>605</v>
      </c>
      <c r="O1029" s="263" t="s">
        <v>612</v>
      </c>
      <c r="P1029" s="286" t="s">
        <v>3335</v>
      </c>
    </row>
    <row r="1030" s="92" customFormat="1" ht="20.1" customHeight="1" spans="1:16">
      <c r="A1030" s="157" t="s">
        <v>3336</v>
      </c>
      <c r="B1030" s="36" t="s">
        <v>3337</v>
      </c>
      <c r="C1030" s="267">
        <v>352</v>
      </c>
      <c r="D1030" s="268">
        <f t="shared" ref="D1030:D1093" si="221">SUM(E1030:I1030)</f>
        <v>0</v>
      </c>
      <c r="E1030" s="267"/>
      <c r="F1030" s="267"/>
      <c r="G1030" s="267"/>
      <c r="H1030" s="267"/>
      <c r="I1030" s="287"/>
      <c r="J1030" s="288">
        <f t="shared" si="218"/>
        <v>-100</v>
      </c>
      <c r="K1030" s="276" t="s">
        <v>1087</v>
      </c>
      <c r="L1030" s="33">
        <v>1</v>
      </c>
      <c r="M1030" s="157" t="s">
        <v>3336</v>
      </c>
      <c r="N1030" s="157"/>
      <c r="O1030" s="157" t="s">
        <v>612</v>
      </c>
      <c r="P1030" s="163" t="s">
        <v>3338</v>
      </c>
    </row>
    <row r="1031" s="92" customFormat="1" ht="20.1" customHeight="1" spans="1:16">
      <c r="A1031" s="157" t="s">
        <v>3339</v>
      </c>
      <c r="B1031" s="36" t="s">
        <v>374</v>
      </c>
      <c r="C1031" s="267">
        <v>0</v>
      </c>
      <c r="D1031" s="268">
        <f t="shared" si="221"/>
        <v>132</v>
      </c>
      <c r="E1031" s="267"/>
      <c r="F1031" s="267"/>
      <c r="G1031" s="267">
        <v>132</v>
      </c>
      <c r="H1031" s="267"/>
      <c r="I1031" s="287"/>
      <c r="J1031" s="288">
        <f t="shared" si="218"/>
        <v>100</v>
      </c>
      <c r="K1031" s="276" t="s">
        <v>1087</v>
      </c>
      <c r="L1031" s="33">
        <v>1</v>
      </c>
      <c r="M1031" s="157" t="s">
        <v>3339</v>
      </c>
      <c r="N1031" s="157"/>
      <c r="O1031" s="157" t="s">
        <v>612</v>
      </c>
      <c r="P1031" s="163" t="s">
        <v>3335</v>
      </c>
    </row>
    <row r="1032" s="93" customFormat="1" ht="20.1" customHeight="1" spans="1:16">
      <c r="A1032" s="154" t="s">
        <v>613</v>
      </c>
      <c r="B1032" s="261" t="s">
        <v>375</v>
      </c>
      <c r="C1032" s="262">
        <f t="shared" ref="C1032:I1032" si="222">C1033+C1043+C1059+C1064+C1075+C1082+C1090</f>
        <v>1110</v>
      </c>
      <c r="D1032" s="262">
        <f t="shared" si="221"/>
        <v>753</v>
      </c>
      <c r="E1032" s="262">
        <f t="shared" si="222"/>
        <v>0</v>
      </c>
      <c r="F1032" s="262">
        <f t="shared" si="222"/>
        <v>0</v>
      </c>
      <c r="G1032" s="262">
        <f t="shared" si="222"/>
        <v>753</v>
      </c>
      <c r="H1032" s="262">
        <f t="shared" si="222"/>
        <v>0</v>
      </c>
      <c r="I1032" s="262">
        <f t="shared" si="222"/>
        <v>0</v>
      </c>
      <c r="J1032" s="279">
        <f t="shared" si="218"/>
        <v>67.84</v>
      </c>
      <c r="K1032" s="280" t="s">
        <v>1081</v>
      </c>
      <c r="L1032" s="281"/>
      <c r="M1032" s="154" t="s">
        <v>613</v>
      </c>
      <c r="N1032" s="154" t="s">
        <v>613</v>
      </c>
      <c r="O1032" s="154" t="s">
        <v>613</v>
      </c>
      <c r="P1032" s="282" t="s">
        <v>3340</v>
      </c>
    </row>
    <row r="1033" s="93" customFormat="1" ht="20.1" customHeight="1" spans="1:16">
      <c r="A1033" s="263" t="s">
        <v>614</v>
      </c>
      <c r="B1033" s="297" t="s">
        <v>3341</v>
      </c>
      <c r="C1033" s="265">
        <f t="shared" ref="C1033:I1033" si="223">SUM(C1034:C1042)</f>
        <v>37</v>
      </c>
      <c r="D1033" s="265">
        <f t="shared" si="221"/>
        <v>0</v>
      </c>
      <c r="E1033" s="265">
        <f t="shared" si="223"/>
        <v>0</v>
      </c>
      <c r="F1033" s="265">
        <f t="shared" si="223"/>
        <v>0</v>
      </c>
      <c r="G1033" s="265">
        <f t="shared" si="223"/>
        <v>0</v>
      </c>
      <c r="H1033" s="265">
        <f t="shared" si="223"/>
        <v>0</v>
      </c>
      <c r="I1033" s="265">
        <f t="shared" si="223"/>
        <v>0</v>
      </c>
      <c r="J1033" s="298">
        <f t="shared" si="218"/>
        <v>-100</v>
      </c>
      <c r="K1033" s="284" t="s">
        <v>1082</v>
      </c>
      <c r="L1033" s="285"/>
      <c r="M1033" s="263" t="s">
        <v>614</v>
      </c>
      <c r="N1033" s="263" t="s">
        <v>613</v>
      </c>
      <c r="O1033" s="263" t="s">
        <v>614</v>
      </c>
      <c r="P1033" s="286" t="s">
        <v>3342</v>
      </c>
    </row>
    <row r="1034" s="92" customFormat="1" ht="20.1" customHeight="1" spans="1:16">
      <c r="A1034" s="157" t="s">
        <v>3343</v>
      </c>
      <c r="B1034" s="36" t="s">
        <v>1086</v>
      </c>
      <c r="C1034" s="267">
        <v>0</v>
      </c>
      <c r="D1034" s="268">
        <f t="shared" si="221"/>
        <v>0</v>
      </c>
      <c r="E1034" s="267"/>
      <c r="F1034" s="267"/>
      <c r="G1034" s="267"/>
      <c r="H1034" s="267"/>
      <c r="I1034" s="287"/>
      <c r="J1034" s="288">
        <f t="shared" si="218"/>
        <v>0</v>
      </c>
      <c r="K1034" s="276" t="s">
        <v>1087</v>
      </c>
      <c r="L1034" s="33">
        <v>1</v>
      </c>
      <c r="M1034" s="157" t="s">
        <v>3343</v>
      </c>
      <c r="N1034" s="157"/>
      <c r="O1034" s="157" t="s">
        <v>614</v>
      </c>
      <c r="P1034" s="164" t="s">
        <v>1088</v>
      </c>
    </row>
    <row r="1035" s="92" customFormat="1" ht="20.1" customHeight="1" spans="1:16">
      <c r="A1035" s="157" t="s">
        <v>3344</v>
      </c>
      <c r="B1035" s="36" t="s">
        <v>1090</v>
      </c>
      <c r="C1035" s="267">
        <v>0</v>
      </c>
      <c r="D1035" s="268">
        <f t="shared" si="221"/>
        <v>0</v>
      </c>
      <c r="E1035" s="267"/>
      <c r="F1035" s="267"/>
      <c r="G1035" s="267"/>
      <c r="H1035" s="267"/>
      <c r="I1035" s="287"/>
      <c r="J1035" s="288">
        <f t="shared" si="218"/>
        <v>0</v>
      </c>
      <c r="K1035" s="276" t="s">
        <v>1087</v>
      </c>
      <c r="L1035" s="33">
        <v>1</v>
      </c>
      <c r="M1035" s="157" t="s">
        <v>3344</v>
      </c>
      <c r="N1035" s="157"/>
      <c r="O1035" s="157" t="s">
        <v>614</v>
      </c>
      <c r="P1035" s="164" t="s">
        <v>1091</v>
      </c>
    </row>
    <row r="1036" s="92" customFormat="1" ht="20.1" customHeight="1" spans="1:16">
      <c r="A1036" s="157" t="s">
        <v>3345</v>
      </c>
      <c r="B1036" s="36" t="s">
        <v>1093</v>
      </c>
      <c r="C1036" s="267">
        <v>0</v>
      </c>
      <c r="D1036" s="268">
        <f t="shared" si="221"/>
        <v>0</v>
      </c>
      <c r="E1036" s="267"/>
      <c r="F1036" s="267"/>
      <c r="G1036" s="267"/>
      <c r="H1036" s="267"/>
      <c r="I1036" s="287"/>
      <c r="J1036" s="288">
        <f t="shared" si="218"/>
        <v>0</v>
      </c>
      <c r="K1036" s="276" t="s">
        <v>1087</v>
      </c>
      <c r="L1036" s="33">
        <v>1</v>
      </c>
      <c r="M1036" s="157" t="s">
        <v>3345</v>
      </c>
      <c r="N1036" s="157"/>
      <c r="O1036" s="157" t="s">
        <v>614</v>
      </c>
      <c r="P1036" s="164" t="s">
        <v>1094</v>
      </c>
    </row>
    <row r="1037" s="92" customFormat="1" ht="20.1" customHeight="1" spans="1:16">
      <c r="A1037" s="157" t="s">
        <v>3346</v>
      </c>
      <c r="B1037" s="36" t="s">
        <v>3347</v>
      </c>
      <c r="C1037" s="267">
        <v>0</v>
      </c>
      <c r="D1037" s="268">
        <f t="shared" si="221"/>
        <v>0</v>
      </c>
      <c r="E1037" s="267"/>
      <c r="F1037" s="267"/>
      <c r="G1037" s="267"/>
      <c r="H1037" s="267"/>
      <c r="I1037" s="287"/>
      <c r="J1037" s="288">
        <f t="shared" si="218"/>
        <v>0</v>
      </c>
      <c r="K1037" s="276" t="s">
        <v>1087</v>
      </c>
      <c r="L1037" s="33">
        <v>1</v>
      </c>
      <c r="M1037" s="157" t="s">
        <v>3346</v>
      </c>
      <c r="N1037" s="157"/>
      <c r="O1037" s="157" t="s">
        <v>614</v>
      </c>
      <c r="P1037" s="163" t="s">
        <v>3348</v>
      </c>
    </row>
    <row r="1038" s="92" customFormat="1" ht="20.1" customHeight="1" spans="1:16">
      <c r="A1038" s="157" t="s">
        <v>3349</v>
      </c>
      <c r="B1038" s="36" t="s">
        <v>3350</v>
      </c>
      <c r="C1038" s="267">
        <v>0</v>
      </c>
      <c r="D1038" s="268">
        <f t="shared" si="221"/>
        <v>0</v>
      </c>
      <c r="E1038" s="267"/>
      <c r="F1038" s="267"/>
      <c r="G1038" s="267"/>
      <c r="H1038" s="267"/>
      <c r="I1038" s="287"/>
      <c r="J1038" s="288">
        <f t="shared" si="218"/>
        <v>0</v>
      </c>
      <c r="K1038" s="276" t="s">
        <v>1087</v>
      </c>
      <c r="L1038" s="33">
        <v>1</v>
      </c>
      <c r="M1038" s="157" t="s">
        <v>3349</v>
      </c>
      <c r="N1038" s="157"/>
      <c r="O1038" s="157" t="s">
        <v>614</v>
      </c>
      <c r="P1038" s="163" t="s">
        <v>3351</v>
      </c>
    </row>
    <row r="1039" s="92" customFormat="1" ht="20.1" customHeight="1" spans="1:16">
      <c r="A1039" s="157" t="s">
        <v>3352</v>
      </c>
      <c r="B1039" s="36" t="s">
        <v>3353</v>
      </c>
      <c r="C1039" s="267">
        <v>0</v>
      </c>
      <c r="D1039" s="268">
        <f t="shared" si="221"/>
        <v>0</v>
      </c>
      <c r="E1039" s="267"/>
      <c r="F1039" s="267"/>
      <c r="G1039" s="267"/>
      <c r="H1039" s="267"/>
      <c r="I1039" s="287"/>
      <c r="J1039" s="288">
        <f t="shared" si="218"/>
        <v>0</v>
      </c>
      <c r="K1039" s="276" t="s">
        <v>1087</v>
      </c>
      <c r="L1039" s="33">
        <v>1</v>
      </c>
      <c r="M1039" s="157" t="s">
        <v>3352</v>
      </c>
      <c r="N1039" s="157"/>
      <c r="O1039" s="157" t="s">
        <v>614</v>
      </c>
      <c r="P1039" s="163" t="s">
        <v>3354</v>
      </c>
    </row>
    <row r="1040" s="92" customFormat="1" ht="20.1" customHeight="1" spans="1:16">
      <c r="A1040" s="157" t="s">
        <v>3355</v>
      </c>
      <c r="B1040" s="36" t="s">
        <v>3356</v>
      </c>
      <c r="C1040" s="267">
        <v>0</v>
      </c>
      <c r="D1040" s="268">
        <f t="shared" si="221"/>
        <v>0</v>
      </c>
      <c r="E1040" s="267"/>
      <c r="F1040" s="267"/>
      <c r="G1040" s="267"/>
      <c r="H1040" s="267"/>
      <c r="I1040" s="287"/>
      <c r="J1040" s="288">
        <f t="shared" si="218"/>
        <v>0</v>
      </c>
      <c r="K1040" s="276" t="s">
        <v>1087</v>
      </c>
      <c r="L1040" s="33">
        <v>1</v>
      </c>
      <c r="M1040" s="157" t="s">
        <v>3355</v>
      </c>
      <c r="N1040" s="157"/>
      <c r="O1040" s="157" t="s">
        <v>614</v>
      </c>
      <c r="P1040" s="163" t="s">
        <v>3357</v>
      </c>
    </row>
    <row r="1041" s="92" customFormat="1" ht="20.1" customHeight="1" spans="1:16">
      <c r="A1041" s="157" t="s">
        <v>3358</v>
      </c>
      <c r="B1041" s="36" t="s">
        <v>3359</v>
      </c>
      <c r="C1041" s="267">
        <v>0</v>
      </c>
      <c r="D1041" s="268">
        <f t="shared" si="221"/>
        <v>0</v>
      </c>
      <c r="E1041" s="267"/>
      <c r="F1041" s="267"/>
      <c r="G1041" s="267"/>
      <c r="H1041" s="267"/>
      <c r="I1041" s="287"/>
      <c r="J1041" s="288">
        <f t="shared" si="218"/>
        <v>0</v>
      </c>
      <c r="K1041" s="276" t="s">
        <v>1087</v>
      </c>
      <c r="L1041" s="33">
        <v>1</v>
      </c>
      <c r="M1041" s="157" t="s">
        <v>3358</v>
      </c>
      <c r="N1041" s="157"/>
      <c r="O1041" s="157" t="s">
        <v>614</v>
      </c>
      <c r="P1041" s="163" t="s">
        <v>3360</v>
      </c>
    </row>
    <row r="1042" s="92" customFormat="1" ht="20.1" customHeight="1" spans="1:16">
      <c r="A1042" s="157" t="s">
        <v>3361</v>
      </c>
      <c r="B1042" s="36" t="s">
        <v>3362</v>
      </c>
      <c r="C1042" s="267">
        <v>37</v>
      </c>
      <c r="D1042" s="268">
        <f t="shared" si="221"/>
        <v>0</v>
      </c>
      <c r="E1042" s="267"/>
      <c r="F1042" s="267"/>
      <c r="G1042" s="267"/>
      <c r="H1042" s="267"/>
      <c r="I1042" s="287"/>
      <c r="J1042" s="288">
        <f t="shared" si="218"/>
        <v>-100</v>
      </c>
      <c r="K1042" s="276" t="s">
        <v>1087</v>
      </c>
      <c r="L1042" s="33">
        <v>1</v>
      </c>
      <c r="M1042" s="157" t="s">
        <v>3361</v>
      </c>
      <c r="N1042" s="157"/>
      <c r="O1042" s="157" t="s">
        <v>614</v>
      </c>
      <c r="P1042" s="163" t="s">
        <v>3363</v>
      </c>
    </row>
    <row r="1043" s="93" customFormat="1" ht="20.1" customHeight="1" spans="1:16">
      <c r="A1043" s="263" t="s">
        <v>615</v>
      </c>
      <c r="B1043" s="297" t="s">
        <v>3364</v>
      </c>
      <c r="C1043" s="265">
        <f t="shared" ref="C1043:I1043" si="224">SUM(C1044:C1058)</f>
        <v>324</v>
      </c>
      <c r="D1043" s="265">
        <f t="shared" si="221"/>
        <v>153</v>
      </c>
      <c r="E1043" s="265">
        <f t="shared" si="224"/>
        <v>0</v>
      </c>
      <c r="F1043" s="265">
        <f t="shared" si="224"/>
        <v>0</v>
      </c>
      <c r="G1043" s="265">
        <f t="shared" si="224"/>
        <v>153</v>
      </c>
      <c r="H1043" s="265">
        <f t="shared" si="224"/>
        <v>0</v>
      </c>
      <c r="I1043" s="265">
        <f t="shared" si="224"/>
        <v>0</v>
      </c>
      <c r="J1043" s="298">
        <f t="shared" si="218"/>
        <v>47.22</v>
      </c>
      <c r="K1043" s="284" t="s">
        <v>1082</v>
      </c>
      <c r="L1043" s="285"/>
      <c r="M1043" s="263" t="s">
        <v>615</v>
      </c>
      <c r="N1043" s="263" t="s">
        <v>613</v>
      </c>
      <c r="O1043" s="263" t="s">
        <v>615</v>
      </c>
      <c r="P1043" s="286" t="s">
        <v>3365</v>
      </c>
    </row>
    <row r="1044" s="92" customFormat="1" ht="20.1" customHeight="1" spans="1:16">
      <c r="A1044" s="157" t="s">
        <v>3366</v>
      </c>
      <c r="B1044" s="36" t="s">
        <v>1086</v>
      </c>
      <c r="C1044" s="267">
        <v>0</v>
      </c>
      <c r="D1044" s="268">
        <f t="shared" si="221"/>
        <v>0</v>
      </c>
      <c r="E1044" s="267"/>
      <c r="F1044" s="267"/>
      <c r="G1044" s="267"/>
      <c r="H1044" s="267"/>
      <c r="I1044" s="287"/>
      <c r="J1044" s="288">
        <f t="shared" si="218"/>
        <v>0</v>
      </c>
      <c r="K1044" s="276" t="s">
        <v>1087</v>
      </c>
      <c r="L1044" s="33">
        <v>1</v>
      </c>
      <c r="M1044" s="157" t="s">
        <v>3366</v>
      </c>
      <c r="N1044" s="157"/>
      <c r="O1044" s="157" t="s">
        <v>615</v>
      </c>
      <c r="P1044" s="164" t="s">
        <v>1088</v>
      </c>
    </row>
    <row r="1045" s="92" customFormat="1" ht="20.1" customHeight="1" spans="1:16">
      <c r="A1045" s="157" t="s">
        <v>3367</v>
      </c>
      <c r="B1045" s="36" t="s">
        <v>1090</v>
      </c>
      <c r="C1045" s="267">
        <v>0</v>
      </c>
      <c r="D1045" s="268">
        <f t="shared" si="221"/>
        <v>0</v>
      </c>
      <c r="E1045" s="267"/>
      <c r="F1045" s="267"/>
      <c r="G1045" s="267"/>
      <c r="H1045" s="267"/>
      <c r="I1045" s="287"/>
      <c r="J1045" s="288">
        <f t="shared" si="218"/>
        <v>0</v>
      </c>
      <c r="K1045" s="276" t="s">
        <v>1087</v>
      </c>
      <c r="L1045" s="33">
        <v>1</v>
      </c>
      <c r="M1045" s="157" t="s">
        <v>3367</v>
      </c>
      <c r="N1045" s="157"/>
      <c r="O1045" s="157" t="s">
        <v>615</v>
      </c>
      <c r="P1045" s="164" t="s">
        <v>1091</v>
      </c>
    </row>
    <row r="1046" s="92" customFormat="1" ht="20.1" customHeight="1" spans="1:16">
      <c r="A1046" s="157" t="s">
        <v>3368</v>
      </c>
      <c r="B1046" s="36" t="s">
        <v>1093</v>
      </c>
      <c r="C1046" s="267">
        <v>0</v>
      </c>
      <c r="D1046" s="268">
        <f t="shared" si="221"/>
        <v>0</v>
      </c>
      <c r="E1046" s="267"/>
      <c r="F1046" s="267"/>
      <c r="G1046" s="267"/>
      <c r="H1046" s="267"/>
      <c r="I1046" s="287"/>
      <c r="J1046" s="288">
        <f t="shared" si="218"/>
        <v>0</v>
      </c>
      <c r="K1046" s="276" t="s">
        <v>1087</v>
      </c>
      <c r="L1046" s="33">
        <v>1</v>
      </c>
      <c r="M1046" s="157" t="s">
        <v>3368</v>
      </c>
      <c r="N1046" s="157"/>
      <c r="O1046" s="157" t="s">
        <v>615</v>
      </c>
      <c r="P1046" s="164" t="s">
        <v>1094</v>
      </c>
    </row>
    <row r="1047" s="92" customFormat="1" ht="20.1" customHeight="1" spans="1:16">
      <c r="A1047" s="157" t="s">
        <v>3369</v>
      </c>
      <c r="B1047" s="36" t="s">
        <v>3370</v>
      </c>
      <c r="C1047" s="267">
        <v>0</v>
      </c>
      <c r="D1047" s="268">
        <f t="shared" si="221"/>
        <v>0</v>
      </c>
      <c r="E1047" s="267"/>
      <c r="F1047" s="267"/>
      <c r="G1047" s="267"/>
      <c r="H1047" s="267"/>
      <c r="I1047" s="287"/>
      <c r="J1047" s="288">
        <f t="shared" si="218"/>
        <v>0</v>
      </c>
      <c r="K1047" s="276" t="s">
        <v>1087</v>
      </c>
      <c r="L1047" s="33">
        <v>1</v>
      </c>
      <c r="M1047" s="157" t="s">
        <v>3369</v>
      </c>
      <c r="N1047" s="157"/>
      <c r="O1047" s="157" t="s">
        <v>615</v>
      </c>
      <c r="P1047" s="163" t="s">
        <v>3371</v>
      </c>
    </row>
    <row r="1048" s="92" customFormat="1" ht="20.1" customHeight="1" spans="1:16">
      <c r="A1048" s="157" t="s">
        <v>3372</v>
      </c>
      <c r="B1048" s="36" t="s">
        <v>3373</v>
      </c>
      <c r="C1048" s="267">
        <v>0</v>
      </c>
      <c r="D1048" s="268">
        <f t="shared" si="221"/>
        <v>0</v>
      </c>
      <c r="E1048" s="267"/>
      <c r="F1048" s="267"/>
      <c r="G1048" s="267"/>
      <c r="H1048" s="267"/>
      <c r="I1048" s="287"/>
      <c r="J1048" s="288">
        <f t="shared" si="218"/>
        <v>0</v>
      </c>
      <c r="K1048" s="276" t="s">
        <v>1087</v>
      </c>
      <c r="L1048" s="33">
        <v>1</v>
      </c>
      <c r="M1048" s="157" t="s">
        <v>3372</v>
      </c>
      <c r="N1048" s="157"/>
      <c r="O1048" s="157" t="s">
        <v>615</v>
      </c>
      <c r="P1048" s="163" t="s">
        <v>3374</v>
      </c>
    </row>
    <row r="1049" s="92" customFormat="1" ht="20.1" customHeight="1" spans="1:16">
      <c r="A1049" s="157" t="s">
        <v>3375</v>
      </c>
      <c r="B1049" s="36" t="s">
        <v>3376</v>
      </c>
      <c r="C1049" s="267">
        <v>0</v>
      </c>
      <c r="D1049" s="268">
        <f t="shared" si="221"/>
        <v>0</v>
      </c>
      <c r="E1049" s="267"/>
      <c r="F1049" s="267"/>
      <c r="G1049" s="267"/>
      <c r="H1049" s="267"/>
      <c r="I1049" s="287"/>
      <c r="J1049" s="288">
        <f t="shared" si="218"/>
        <v>0</v>
      </c>
      <c r="K1049" s="276" t="s">
        <v>1087</v>
      </c>
      <c r="L1049" s="33">
        <v>1</v>
      </c>
      <c r="M1049" s="157" t="s">
        <v>3375</v>
      </c>
      <c r="N1049" s="157"/>
      <c r="O1049" s="157" t="s">
        <v>615</v>
      </c>
      <c r="P1049" s="163" t="s">
        <v>3377</v>
      </c>
    </row>
    <row r="1050" s="92" customFormat="1" ht="20.1" customHeight="1" spans="1:16">
      <c r="A1050" s="157" t="s">
        <v>3378</v>
      </c>
      <c r="B1050" s="36" t="s">
        <v>3379</v>
      </c>
      <c r="C1050" s="267">
        <v>0</v>
      </c>
      <c r="D1050" s="268">
        <f t="shared" si="221"/>
        <v>0</v>
      </c>
      <c r="E1050" s="267"/>
      <c r="F1050" s="267"/>
      <c r="G1050" s="267"/>
      <c r="H1050" s="267"/>
      <c r="I1050" s="287"/>
      <c r="J1050" s="288">
        <f t="shared" si="218"/>
        <v>0</v>
      </c>
      <c r="K1050" s="276" t="s">
        <v>1087</v>
      </c>
      <c r="L1050" s="33">
        <v>1</v>
      </c>
      <c r="M1050" s="157" t="s">
        <v>3378</v>
      </c>
      <c r="N1050" s="157"/>
      <c r="O1050" s="157" t="s">
        <v>615</v>
      </c>
      <c r="P1050" s="163" t="s">
        <v>3380</v>
      </c>
    </row>
    <row r="1051" s="92" customFormat="1" ht="20.1" customHeight="1" spans="1:16">
      <c r="A1051" s="157" t="s">
        <v>3381</v>
      </c>
      <c r="B1051" s="36" t="s">
        <v>3382</v>
      </c>
      <c r="C1051" s="267">
        <v>0</v>
      </c>
      <c r="D1051" s="268">
        <f t="shared" si="221"/>
        <v>0</v>
      </c>
      <c r="E1051" s="267"/>
      <c r="F1051" s="267"/>
      <c r="G1051" s="267"/>
      <c r="H1051" s="267"/>
      <c r="I1051" s="287"/>
      <c r="J1051" s="288">
        <f t="shared" si="218"/>
        <v>0</v>
      </c>
      <c r="K1051" s="276" t="s">
        <v>1087</v>
      </c>
      <c r="L1051" s="33">
        <v>1</v>
      </c>
      <c r="M1051" s="157" t="s">
        <v>3381</v>
      </c>
      <c r="N1051" s="157"/>
      <c r="O1051" s="157" t="s">
        <v>615</v>
      </c>
      <c r="P1051" s="163" t="s">
        <v>3383</v>
      </c>
    </row>
    <row r="1052" s="92" customFormat="1" ht="20.1" customHeight="1" spans="1:16">
      <c r="A1052" s="157" t="s">
        <v>3384</v>
      </c>
      <c r="B1052" s="36" t="s">
        <v>3385</v>
      </c>
      <c r="C1052" s="267">
        <v>0</v>
      </c>
      <c r="D1052" s="268">
        <f t="shared" si="221"/>
        <v>0</v>
      </c>
      <c r="E1052" s="267"/>
      <c r="F1052" s="267"/>
      <c r="G1052" s="267"/>
      <c r="H1052" s="267"/>
      <c r="I1052" s="287"/>
      <c r="J1052" s="288">
        <f t="shared" si="218"/>
        <v>0</v>
      </c>
      <c r="K1052" s="276" t="s">
        <v>1087</v>
      </c>
      <c r="L1052" s="33">
        <v>1</v>
      </c>
      <c r="M1052" s="157" t="s">
        <v>3384</v>
      </c>
      <c r="N1052" s="157"/>
      <c r="O1052" s="157" t="s">
        <v>615</v>
      </c>
      <c r="P1052" s="163" t="s">
        <v>3386</v>
      </c>
    </row>
    <row r="1053" s="92" customFormat="1" ht="20.1" customHeight="1" spans="1:16">
      <c r="A1053" s="157" t="s">
        <v>3387</v>
      </c>
      <c r="B1053" s="36" t="s">
        <v>3388</v>
      </c>
      <c r="C1053" s="267">
        <v>0</v>
      </c>
      <c r="D1053" s="268">
        <f t="shared" si="221"/>
        <v>0</v>
      </c>
      <c r="E1053" s="267"/>
      <c r="F1053" s="267"/>
      <c r="G1053" s="267"/>
      <c r="H1053" s="267"/>
      <c r="I1053" s="287"/>
      <c r="J1053" s="288">
        <f t="shared" si="218"/>
        <v>0</v>
      </c>
      <c r="K1053" s="276" t="s">
        <v>1087</v>
      </c>
      <c r="L1053" s="33">
        <v>1</v>
      </c>
      <c r="M1053" s="157" t="s">
        <v>3387</v>
      </c>
      <c r="N1053" s="157"/>
      <c r="O1053" s="157" t="s">
        <v>615</v>
      </c>
      <c r="P1053" s="163" t="s">
        <v>3389</v>
      </c>
    </row>
    <row r="1054" s="92" customFormat="1" ht="20.1" customHeight="1" spans="1:16">
      <c r="A1054" s="157" t="s">
        <v>3390</v>
      </c>
      <c r="B1054" s="36" t="s">
        <v>3391</v>
      </c>
      <c r="C1054" s="267">
        <v>0</v>
      </c>
      <c r="D1054" s="268">
        <f t="shared" si="221"/>
        <v>0</v>
      </c>
      <c r="E1054" s="267"/>
      <c r="F1054" s="267"/>
      <c r="G1054" s="267"/>
      <c r="H1054" s="267"/>
      <c r="I1054" s="287"/>
      <c r="J1054" s="288">
        <f t="shared" si="218"/>
        <v>0</v>
      </c>
      <c r="K1054" s="276" t="s">
        <v>1087</v>
      </c>
      <c r="L1054" s="33">
        <v>1</v>
      </c>
      <c r="M1054" s="157" t="s">
        <v>3390</v>
      </c>
      <c r="N1054" s="157"/>
      <c r="O1054" s="157" t="s">
        <v>615</v>
      </c>
      <c r="P1054" s="163" t="s">
        <v>3392</v>
      </c>
    </row>
    <row r="1055" s="92" customFormat="1" ht="20.1" customHeight="1" spans="1:16">
      <c r="A1055" s="157" t="s">
        <v>3393</v>
      </c>
      <c r="B1055" s="36" t="s">
        <v>3394</v>
      </c>
      <c r="C1055" s="267">
        <v>0</v>
      </c>
      <c r="D1055" s="268">
        <f t="shared" si="221"/>
        <v>0</v>
      </c>
      <c r="E1055" s="267"/>
      <c r="F1055" s="267"/>
      <c r="G1055" s="267"/>
      <c r="H1055" s="267"/>
      <c r="I1055" s="287"/>
      <c r="J1055" s="288">
        <f t="shared" si="218"/>
        <v>0</v>
      </c>
      <c r="K1055" s="276" t="s">
        <v>1087</v>
      </c>
      <c r="L1055" s="33">
        <v>1</v>
      </c>
      <c r="M1055" s="157" t="s">
        <v>3393</v>
      </c>
      <c r="N1055" s="157"/>
      <c r="O1055" s="157" t="s">
        <v>615</v>
      </c>
      <c r="P1055" s="163" t="s">
        <v>3395</v>
      </c>
    </row>
    <row r="1056" s="92" customFormat="1" ht="20.1" customHeight="1" spans="1:16">
      <c r="A1056" s="157" t="s">
        <v>3396</v>
      </c>
      <c r="B1056" s="36" t="s">
        <v>3397</v>
      </c>
      <c r="C1056" s="267">
        <v>0</v>
      </c>
      <c r="D1056" s="268">
        <f t="shared" si="221"/>
        <v>0</v>
      </c>
      <c r="E1056" s="267"/>
      <c r="F1056" s="267"/>
      <c r="G1056" s="267"/>
      <c r="H1056" s="267"/>
      <c r="I1056" s="287"/>
      <c r="J1056" s="288">
        <f t="shared" si="218"/>
        <v>0</v>
      </c>
      <c r="K1056" s="276" t="s">
        <v>1087</v>
      </c>
      <c r="L1056" s="33">
        <v>1</v>
      </c>
      <c r="M1056" s="157" t="s">
        <v>3396</v>
      </c>
      <c r="N1056" s="157"/>
      <c r="O1056" s="157" t="s">
        <v>615</v>
      </c>
      <c r="P1056" s="163" t="s">
        <v>3398</v>
      </c>
    </row>
    <row r="1057" s="92" customFormat="1" ht="20.1" customHeight="1" spans="1:16">
      <c r="A1057" s="157" t="s">
        <v>3399</v>
      </c>
      <c r="B1057" s="36" t="s">
        <v>3400</v>
      </c>
      <c r="C1057" s="267">
        <v>0</v>
      </c>
      <c r="D1057" s="268">
        <f t="shared" si="221"/>
        <v>0</v>
      </c>
      <c r="E1057" s="267"/>
      <c r="F1057" s="267"/>
      <c r="G1057" s="267"/>
      <c r="H1057" s="267"/>
      <c r="I1057" s="287"/>
      <c r="J1057" s="288">
        <f t="shared" si="218"/>
        <v>0</v>
      </c>
      <c r="K1057" s="276" t="s">
        <v>1087</v>
      </c>
      <c r="L1057" s="33">
        <v>1</v>
      </c>
      <c r="M1057" s="157" t="s">
        <v>3399</v>
      </c>
      <c r="N1057" s="157"/>
      <c r="O1057" s="157" t="s">
        <v>615</v>
      </c>
      <c r="P1057" s="163" t="s">
        <v>3401</v>
      </c>
    </row>
    <row r="1058" s="92" customFormat="1" ht="20.1" customHeight="1" spans="1:16">
      <c r="A1058" s="157" t="s">
        <v>3402</v>
      </c>
      <c r="B1058" s="36" t="s">
        <v>3403</v>
      </c>
      <c r="C1058" s="267">
        <v>324</v>
      </c>
      <c r="D1058" s="268">
        <f t="shared" si="221"/>
        <v>153</v>
      </c>
      <c r="E1058" s="267"/>
      <c r="F1058" s="267"/>
      <c r="G1058" s="267">
        <v>153</v>
      </c>
      <c r="H1058" s="267"/>
      <c r="I1058" s="287"/>
      <c r="J1058" s="288">
        <f t="shared" si="218"/>
        <v>47.22</v>
      </c>
      <c r="K1058" s="276" t="s">
        <v>1087</v>
      </c>
      <c r="L1058" s="33">
        <v>1</v>
      </c>
      <c r="M1058" s="157" t="s">
        <v>3402</v>
      </c>
      <c r="N1058" s="157"/>
      <c r="O1058" s="157" t="s">
        <v>615</v>
      </c>
      <c r="P1058" s="163" t="s">
        <v>3404</v>
      </c>
    </row>
    <row r="1059" s="93" customFormat="1" ht="20.1" customHeight="1" spans="1:16">
      <c r="A1059" s="263" t="s">
        <v>616</v>
      </c>
      <c r="B1059" s="297" t="s">
        <v>3405</v>
      </c>
      <c r="C1059" s="265">
        <f t="shared" ref="C1059:I1059" si="225">SUM(C1060:C1063)</f>
        <v>0</v>
      </c>
      <c r="D1059" s="265">
        <f t="shared" si="221"/>
        <v>0</v>
      </c>
      <c r="E1059" s="265">
        <f t="shared" si="225"/>
        <v>0</v>
      </c>
      <c r="F1059" s="265">
        <f t="shared" si="225"/>
        <v>0</v>
      </c>
      <c r="G1059" s="265">
        <f t="shared" si="225"/>
        <v>0</v>
      </c>
      <c r="H1059" s="265">
        <f t="shared" si="225"/>
        <v>0</v>
      </c>
      <c r="I1059" s="265">
        <f t="shared" si="225"/>
        <v>0</v>
      </c>
      <c r="J1059" s="298">
        <f t="shared" si="218"/>
        <v>0</v>
      </c>
      <c r="K1059" s="284" t="s">
        <v>1082</v>
      </c>
      <c r="L1059" s="285"/>
      <c r="M1059" s="263" t="s">
        <v>616</v>
      </c>
      <c r="N1059" s="263" t="s">
        <v>613</v>
      </c>
      <c r="O1059" s="263" t="s">
        <v>616</v>
      </c>
      <c r="P1059" s="286" t="s">
        <v>3406</v>
      </c>
    </row>
    <row r="1060" s="92" customFormat="1" ht="20.1" customHeight="1" spans="1:16">
      <c r="A1060" s="157" t="s">
        <v>3407</v>
      </c>
      <c r="B1060" s="36" t="s">
        <v>1086</v>
      </c>
      <c r="C1060" s="267">
        <v>0</v>
      </c>
      <c r="D1060" s="268">
        <f t="shared" si="221"/>
        <v>0</v>
      </c>
      <c r="E1060" s="267"/>
      <c r="F1060" s="267"/>
      <c r="G1060" s="267"/>
      <c r="H1060" s="267"/>
      <c r="I1060" s="287"/>
      <c r="J1060" s="288">
        <f t="shared" si="218"/>
        <v>0</v>
      </c>
      <c r="K1060" s="276" t="s">
        <v>1087</v>
      </c>
      <c r="L1060" s="33">
        <v>1</v>
      </c>
      <c r="M1060" s="157" t="s">
        <v>3407</v>
      </c>
      <c r="N1060" s="157"/>
      <c r="O1060" s="157" t="s">
        <v>616</v>
      </c>
      <c r="P1060" s="164" t="s">
        <v>1088</v>
      </c>
    </row>
    <row r="1061" s="92" customFormat="1" ht="20.1" customHeight="1" spans="1:16">
      <c r="A1061" s="157" t="s">
        <v>3408</v>
      </c>
      <c r="B1061" s="36" t="s">
        <v>1090</v>
      </c>
      <c r="C1061" s="267">
        <v>0</v>
      </c>
      <c r="D1061" s="268">
        <f t="shared" si="221"/>
        <v>0</v>
      </c>
      <c r="E1061" s="267"/>
      <c r="F1061" s="267"/>
      <c r="G1061" s="267"/>
      <c r="H1061" s="267"/>
      <c r="I1061" s="287"/>
      <c r="J1061" s="288">
        <f t="shared" si="218"/>
        <v>0</v>
      </c>
      <c r="K1061" s="276" t="s">
        <v>1087</v>
      </c>
      <c r="L1061" s="33">
        <v>1</v>
      </c>
      <c r="M1061" s="157" t="s">
        <v>3408</v>
      </c>
      <c r="N1061" s="157"/>
      <c r="O1061" s="157" t="s">
        <v>616</v>
      </c>
      <c r="P1061" s="164" t="s">
        <v>1091</v>
      </c>
    </row>
    <row r="1062" s="92" customFormat="1" ht="20.1" customHeight="1" spans="1:16">
      <c r="A1062" s="157" t="s">
        <v>3409</v>
      </c>
      <c r="B1062" s="36" t="s">
        <v>1093</v>
      </c>
      <c r="C1062" s="267">
        <v>0</v>
      </c>
      <c r="D1062" s="268">
        <f t="shared" si="221"/>
        <v>0</v>
      </c>
      <c r="E1062" s="267"/>
      <c r="F1062" s="267"/>
      <c r="G1062" s="267"/>
      <c r="H1062" s="267"/>
      <c r="I1062" s="287"/>
      <c r="J1062" s="288">
        <f t="shared" si="218"/>
        <v>0</v>
      </c>
      <c r="K1062" s="276" t="s">
        <v>1087</v>
      </c>
      <c r="L1062" s="33">
        <v>1</v>
      </c>
      <c r="M1062" s="157" t="s">
        <v>3409</v>
      </c>
      <c r="N1062" s="157"/>
      <c r="O1062" s="157" t="s">
        <v>616</v>
      </c>
      <c r="P1062" s="164" t="s">
        <v>1094</v>
      </c>
    </row>
    <row r="1063" s="92" customFormat="1" ht="20.1" customHeight="1" spans="1:16">
      <c r="A1063" s="157" t="s">
        <v>3410</v>
      </c>
      <c r="B1063" s="36" t="s">
        <v>3411</v>
      </c>
      <c r="C1063" s="267">
        <v>0</v>
      </c>
      <c r="D1063" s="268">
        <f t="shared" si="221"/>
        <v>0</v>
      </c>
      <c r="E1063" s="267"/>
      <c r="F1063" s="267"/>
      <c r="G1063" s="267"/>
      <c r="H1063" s="267"/>
      <c r="I1063" s="287"/>
      <c r="J1063" s="288">
        <f t="shared" si="218"/>
        <v>0</v>
      </c>
      <c r="K1063" s="276" t="s">
        <v>1087</v>
      </c>
      <c r="L1063" s="33">
        <v>1</v>
      </c>
      <c r="M1063" s="157" t="s">
        <v>3410</v>
      </c>
      <c r="N1063" s="157"/>
      <c r="O1063" s="157" t="s">
        <v>616</v>
      </c>
      <c r="P1063" s="163" t="s">
        <v>3412</v>
      </c>
    </row>
    <row r="1064" s="93" customFormat="1" ht="20.1" customHeight="1" spans="1:16">
      <c r="A1064" s="263" t="s">
        <v>617</v>
      </c>
      <c r="B1064" s="297" t="s">
        <v>3413</v>
      </c>
      <c r="C1064" s="265">
        <f t="shared" ref="C1064:I1064" si="226">SUM(C1065:C1074)</f>
        <v>49</v>
      </c>
      <c r="D1064" s="265">
        <f t="shared" si="221"/>
        <v>0</v>
      </c>
      <c r="E1064" s="265">
        <f t="shared" si="226"/>
        <v>0</v>
      </c>
      <c r="F1064" s="265">
        <f t="shared" si="226"/>
        <v>0</v>
      </c>
      <c r="G1064" s="265">
        <f t="shared" si="226"/>
        <v>0</v>
      </c>
      <c r="H1064" s="265">
        <f t="shared" si="226"/>
        <v>0</v>
      </c>
      <c r="I1064" s="265">
        <f t="shared" si="226"/>
        <v>0</v>
      </c>
      <c r="J1064" s="298">
        <f t="shared" si="218"/>
        <v>-100</v>
      </c>
      <c r="K1064" s="284" t="s">
        <v>1082</v>
      </c>
      <c r="L1064" s="285"/>
      <c r="M1064" s="263" t="s">
        <v>617</v>
      </c>
      <c r="N1064" s="263" t="s">
        <v>613</v>
      </c>
      <c r="O1064" s="263" t="s">
        <v>617</v>
      </c>
      <c r="P1064" s="286" t="s">
        <v>3414</v>
      </c>
    </row>
    <row r="1065" s="92" customFormat="1" ht="20.1" customHeight="1" spans="1:16">
      <c r="A1065" s="157" t="s">
        <v>3415</v>
      </c>
      <c r="B1065" s="36" t="s">
        <v>1086</v>
      </c>
      <c r="C1065" s="267">
        <v>0</v>
      </c>
      <c r="D1065" s="268">
        <f t="shared" si="221"/>
        <v>0</v>
      </c>
      <c r="E1065" s="267"/>
      <c r="F1065" s="267"/>
      <c r="G1065" s="267"/>
      <c r="H1065" s="267"/>
      <c r="I1065" s="287"/>
      <c r="J1065" s="288">
        <f t="shared" si="218"/>
        <v>0</v>
      </c>
      <c r="K1065" s="276" t="s">
        <v>1087</v>
      </c>
      <c r="L1065" s="33">
        <v>1</v>
      </c>
      <c r="M1065" s="157" t="s">
        <v>3415</v>
      </c>
      <c r="N1065" s="157"/>
      <c r="O1065" s="157" t="s">
        <v>617</v>
      </c>
      <c r="P1065" s="164" t="s">
        <v>1088</v>
      </c>
    </row>
    <row r="1066" s="92" customFormat="1" ht="20.1" customHeight="1" spans="1:16">
      <c r="A1066" s="157" t="s">
        <v>3416</v>
      </c>
      <c r="B1066" s="36" t="s">
        <v>1090</v>
      </c>
      <c r="C1066" s="267">
        <v>0</v>
      </c>
      <c r="D1066" s="268">
        <f t="shared" si="221"/>
        <v>0</v>
      </c>
      <c r="E1066" s="267"/>
      <c r="F1066" s="267"/>
      <c r="G1066" s="267"/>
      <c r="H1066" s="267"/>
      <c r="I1066" s="287"/>
      <c r="J1066" s="288">
        <f t="shared" si="218"/>
        <v>0</v>
      </c>
      <c r="K1066" s="276" t="s">
        <v>1087</v>
      </c>
      <c r="L1066" s="33">
        <v>1</v>
      </c>
      <c r="M1066" s="157" t="s">
        <v>3416</v>
      </c>
      <c r="N1066" s="157"/>
      <c r="O1066" s="157" t="s">
        <v>617</v>
      </c>
      <c r="P1066" s="164" t="s">
        <v>1091</v>
      </c>
    </row>
    <row r="1067" s="92" customFormat="1" ht="20.1" customHeight="1" spans="1:16">
      <c r="A1067" s="157" t="s">
        <v>3417</v>
      </c>
      <c r="B1067" s="36" t="s">
        <v>1093</v>
      </c>
      <c r="C1067" s="267">
        <v>0</v>
      </c>
      <c r="D1067" s="268">
        <f t="shared" si="221"/>
        <v>0</v>
      </c>
      <c r="E1067" s="267"/>
      <c r="F1067" s="267"/>
      <c r="G1067" s="267"/>
      <c r="H1067" s="267"/>
      <c r="I1067" s="287"/>
      <c r="J1067" s="288">
        <f t="shared" si="218"/>
        <v>0</v>
      </c>
      <c r="K1067" s="276" t="s">
        <v>1087</v>
      </c>
      <c r="L1067" s="33">
        <v>1</v>
      </c>
      <c r="M1067" s="157" t="s">
        <v>3417</v>
      </c>
      <c r="N1067" s="157"/>
      <c r="O1067" s="157" t="s">
        <v>617</v>
      </c>
      <c r="P1067" s="164" t="s">
        <v>1094</v>
      </c>
    </row>
    <row r="1068" s="92" customFormat="1" ht="20.1" customHeight="1" spans="1:16">
      <c r="A1068" s="157" t="s">
        <v>3418</v>
      </c>
      <c r="B1068" s="36" t="s">
        <v>3419</v>
      </c>
      <c r="C1068" s="267">
        <v>0</v>
      </c>
      <c r="D1068" s="268">
        <f t="shared" si="221"/>
        <v>0</v>
      </c>
      <c r="E1068" s="267"/>
      <c r="F1068" s="267"/>
      <c r="G1068" s="267"/>
      <c r="H1068" s="267"/>
      <c r="I1068" s="287"/>
      <c r="J1068" s="288">
        <f t="shared" si="218"/>
        <v>0</v>
      </c>
      <c r="K1068" s="276" t="s">
        <v>1087</v>
      </c>
      <c r="L1068" s="33">
        <v>1</v>
      </c>
      <c r="M1068" s="157" t="s">
        <v>3418</v>
      </c>
      <c r="N1068" s="157"/>
      <c r="O1068" s="157" t="s">
        <v>617</v>
      </c>
      <c r="P1068" s="163" t="s">
        <v>3420</v>
      </c>
    </row>
    <row r="1069" s="92" customFormat="1" ht="20.1" customHeight="1" spans="1:16">
      <c r="A1069" s="157" t="s">
        <v>3421</v>
      </c>
      <c r="B1069" s="36" t="s">
        <v>3422</v>
      </c>
      <c r="C1069" s="267">
        <v>0</v>
      </c>
      <c r="D1069" s="268">
        <f t="shared" si="221"/>
        <v>0</v>
      </c>
      <c r="E1069" s="267"/>
      <c r="F1069" s="267"/>
      <c r="G1069" s="267"/>
      <c r="H1069" s="267"/>
      <c r="I1069" s="287"/>
      <c r="J1069" s="288">
        <f t="shared" si="218"/>
        <v>0</v>
      </c>
      <c r="K1069" s="276" t="s">
        <v>1087</v>
      </c>
      <c r="L1069" s="33">
        <v>1</v>
      </c>
      <c r="M1069" s="157" t="s">
        <v>3421</v>
      </c>
      <c r="N1069" s="157"/>
      <c r="O1069" s="157" t="s">
        <v>617</v>
      </c>
      <c r="P1069" s="163" t="s">
        <v>3423</v>
      </c>
    </row>
    <row r="1070" s="92" customFormat="1" ht="20.1" customHeight="1" spans="1:16">
      <c r="A1070" s="157" t="s">
        <v>3424</v>
      </c>
      <c r="B1070" s="36" t="s">
        <v>3425</v>
      </c>
      <c r="C1070" s="267">
        <v>0</v>
      </c>
      <c r="D1070" s="268">
        <f t="shared" si="221"/>
        <v>0</v>
      </c>
      <c r="E1070" s="267"/>
      <c r="F1070" s="267"/>
      <c r="G1070" s="267"/>
      <c r="H1070" s="267"/>
      <c r="I1070" s="287"/>
      <c r="J1070" s="288">
        <f t="shared" si="218"/>
        <v>0</v>
      </c>
      <c r="K1070" s="276" t="s">
        <v>1087</v>
      </c>
      <c r="L1070" s="33">
        <v>1</v>
      </c>
      <c r="M1070" s="157" t="s">
        <v>3424</v>
      </c>
      <c r="N1070" s="157"/>
      <c r="O1070" s="157" t="s">
        <v>617</v>
      </c>
      <c r="P1070" s="163" t="s">
        <v>3426</v>
      </c>
    </row>
    <row r="1071" s="92" customFormat="1" ht="20.1" customHeight="1" spans="1:16">
      <c r="A1071" s="157" t="s">
        <v>3427</v>
      </c>
      <c r="B1071" s="36" t="s">
        <v>3428</v>
      </c>
      <c r="C1071" s="267"/>
      <c r="D1071" s="268">
        <f t="shared" si="221"/>
        <v>0</v>
      </c>
      <c r="E1071" s="267"/>
      <c r="F1071" s="267"/>
      <c r="G1071" s="267"/>
      <c r="H1071" s="267"/>
      <c r="I1071" s="287"/>
      <c r="J1071" s="288">
        <f t="shared" si="218"/>
        <v>0</v>
      </c>
      <c r="K1071" s="276" t="s">
        <v>1087</v>
      </c>
      <c r="L1071" s="33">
        <v>1</v>
      </c>
      <c r="M1071" s="157" t="s">
        <v>3427</v>
      </c>
      <c r="N1071" s="157"/>
      <c r="O1071" s="157" t="s">
        <v>617</v>
      </c>
      <c r="P1071" s="36" t="s">
        <v>3429</v>
      </c>
    </row>
    <row r="1072" s="92" customFormat="1" ht="20.1" customHeight="1" spans="1:16">
      <c r="A1072" s="157" t="s">
        <v>3430</v>
      </c>
      <c r="B1072" s="36" t="s">
        <v>3431</v>
      </c>
      <c r="C1072" s="267"/>
      <c r="D1072" s="268">
        <f t="shared" si="221"/>
        <v>0</v>
      </c>
      <c r="E1072" s="267"/>
      <c r="F1072" s="267"/>
      <c r="G1072" s="267"/>
      <c r="H1072" s="267"/>
      <c r="I1072" s="287"/>
      <c r="J1072" s="288">
        <f t="shared" si="218"/>
        <v>0</v>
      </c>
      <c r="K1072" s="276" t="s">
        <v>1087</v>
      </c>
      <c r="L1072" s="33">
        <v>1</v>
      </c>
      <c r="M1072" s="157" t="s">
        <v>3430</v>
      </c>
      <c r="N1072" s="157"/>
      <c r="O1072" s="157" t="s">
        <v>617</v>
      </c>
      <c r="P1072" s="36" t="s">
        <v>3432</v>
      </c>
    </row>
    <row r="1073" s="92" customFormat="1" ht="20.1" customHeight="1" spans="1:16">
      <c r="A1073" s="157" t="s">
        <v>3433</v>
      </c>
      <c r="B1073" s="36" t="s">
        <v>1114</v>
      </c>
      <c r="C1073" s="267"/>
      <c r="D1073" s="268">
        <f t="shared" si="221"/>
        <v>0</v>
      </c>
      <c r="E1073" s="267"/>
      <c r="F1073" s="267"/>
      <c r="G1073" s="267"/>
      <c r="H1073" s="267"/>
      <c r="I1073" s="287"/>
      <c r="J1073" s="288">
        <f t="shared" si="218"/>
        <v>0</v>
      </c>
      <c r="K1073" s="276" t="s">
        <v>1087</v>
      </c>
      <c r="L1073" s="33">
        <v>1</v>
      </c>
      <c r="M1073" s="157" t="s">
        <v>3433</v>
      </c>
      <c r="N1073" s="157"/>
      <c r="O1073" s="157" t="s">
        <v>617</v>
      </c>
      <c r="P1073" s="36" t="s">
        <v>1115</v>
      </c>
    </row>
    <row r="1074" s="92" customFormat="1" ht="20.1" customHeight="1" spans="1:16">
      <c r="A1074" s="157" t="s">
        <v>3434</v>
      </c>
      <c r="B1074" s="36" t="s">
        <v>3435</v>
      </c>
      <c r="C1074" s="267">
        <v>49</v>
      </c>
      <c r="D1074" s="268">
        <f t="shared" si="221"/>
        <v>0</v>
      </c>
      <c r="E1074" s="267"/>
      <c r="F1074" s="267"/>
      <c r="G1074" s="267"/>
      <c r="H1074" s="267"/>
      <c r="I1074" s="287"/>
      <c r="J1074" s="288">
        <f t="shared" si="218"/>
        <v>-100</v>
      </c>
      <c r="K1074" s="276" t="s">
        <v>1087</v>
      </c>
      <c r="L1074" s="33">
        <v>1</v>
      </c>
      <c r="M1074" s="157" t="s">
        <v>3434</v>
      </c>
      <c r="N1074" s="157"/>
      <c r="O1074" s="157" t="s">
        <v>617</v>
      </c>
      <c r="P1074" s="163" t="s">
        <v>3436</v>
      </c>
    </row>
    <row r="1075" s="93" customFormat="1" ht="20.1" customHeight="1" spans="1:16">
      <c r="A1075" s="263" t="s">
        <v>618</v>
      </c>
      <c r="B1075" s="297" t="s">
        <v>3437</v>
      </c>
      <c r="C1075" s="265">
        <f t="shared" ref="C1075:I1075" si="227">SUM(C1076:C1081)</f>
        <v>0</v>
      </c>
      <c r="D1075" s="265">
        <f t="shared" si="221"/>
        <v>0</v>
      </c>
      <c r="E1075" s="265">
        <f t="shared" si="227"/>
        <v>0</v>
      </c>
      <c r="F1075" s="265">
        <f t="shared" si="227"/>
        <v>0</v>
      </c>
      <c r="G1075" s="265">
        <f t="shared" si="227"/>
        <v>0</v>
      </c>
      <c r="H1075" s="265">
        <f t="shared" si="227"/>
        <v>0</v>
      </c>
      <c r="I1075" s="265">
        <f t="shared" si="227"/>
        <v>0</v>
      </c>
      <c r="J1075" s="298">
        <f t="shared" si="218"/>
        <v>0</v>
      </c>
      <c r="K1075" s="284" t="s">
        <v>1082</v>
      </c>
      <c r="L1075" s="285"/>
      <c r="M1075" s="263" t="s">
        <v>618</v>
      </c>
      <c r="N1075" s="263" t="s">
        <v>613</v>
      </c>
      <c r="O1075" s="263" t="s">
        <v>618</v>
      </c>
      <c r="P1075" s="286" t="s">
        <v>3438</v>
      </c>
    </row>
    <row r="1076" s="92" customFormat="1" ht="20.1" customHeight="1" spans="1:16">
      <c r="A1076" s="157" t="s">
        <v>3439</v>
      </c>
      <c r="B1076" s="36" t="s">
        <v>1086</v>
      </c>
      <c r="C1076" s="267">
        <v>0</v>
      </c>
      <c r="D1076" s="268">
        <f t="shared" si="221"/>
        <v>0</v>
      </c>
      <c r="E1076" s="267"/>
      <c r="F1076" s="267"/>
      <c r="G1076" s="267"/>
      <c r="H1076" s="267"/>
      <c r="I1076" s="287"/>
      <c r="J1076" s="288">
        <f t="shared" si="218"/>
        <v>0</v>
      </c>
      <c r="K1076" s="276" t="s">
        <v>1087</v>
      </c>
      <c r="L1076" s="33">
        <v>1</v>
      </c>
      <c r="M1076" s="157" t="s">
        <v>3439</v>
      </c>
      <c r="N1076" s="157"/>
      <c r="O1076" s="157" t="s">
        <v>618</v>
      </c>
      <c r="P1076" s="164" t="s">
        <v>1088</v>
      </c>
    </row>
    <row r="1077" s="92" customFormat="1" ht="20.1" customHeight="1" spans="1:16">
      <c r="A1077" s="157" t="s">
        <v>3440</v>
      </c>
      <c r="B1077" s="36" t="s">
        <v>1090</v>
      </c>
      <c r="C1077" s="267">
        <v>0</v>
      </c>
      <c r="D1077" s="268">
        <f t="shared" si="221"/>
        <v>0</v>
      </c>
      <c r="E1077" s="267"/>
      <c r="F1077" s="267"/>
      <c r="G1077" s="267"/>
      <c r="H1077" s="267"/>
      <c r="I1077" s="287"/>
      <c r="J1077" s="288">
        <f t="shared" si="218"/>
        <v>0</v>
      </c>
      <c r="K1077" s="276" t="s">
        <v>1087</v>
      </c>
      <c r="L1077" s="33">
        <v>1</v>
      </c>
      <c r="M1077" s="157" t="s">
        <v>3440</v>
      </c>
      <c r="N1077" s="157"/>
      <c r="O1077" s="157" t="s">
        <v>618</v>
      </c>
      <c r="P1077" s="164" t="s">
        <v>1091</v>
      </c>
    </row>
    <row r="1078" s="92" customFormat="1" ht="20.1" customHeight="1" spans="1:16">
      <c r="A1078" s="157" t="s">
        <v>3441</v>
      </c>
      <c r="B1078" s="36" t="s">
        <v>1093</v>
      </c>
      <c r="C1078" s="267">
        <v>0</v>
      </c>
      <c r="D1078" s="268">
        <f t="shared" si="221"/>
        <v>0</v>
      </c>
      <c r="E1078" s="267"/>
      <c r="F1078" s="267"/>
      <c r="G1078" s="267"/>
      <c r="H1078" s="267"/>
      <c r="I1078" s="287"/>
      <c r="J1078" s="288">
        <f t="shared" ref="J1078:J1087" si="228">ROUND(IF(C1078=0,IF(D1078=0,0,1),IF(D1078=0,-1,D1078/C1078)),4)*100</f>
        <v>0</v>
      </c>
      <c r="K1078" s="276" t="s">
        <v>1087</v>
      </c>
      <c r="L1078" s="33">
        <v>1</v>
      </c>
      <c r="M1078" s="157" t="s">
        <v>3441</v>
      </c>
      <c r="N1078" s="157"/>
      <c r="O1078" s="157" t="s">
        <v>618</v>
      </c>
      <c r="P1078" s="164" t="s">
        <v>1094</v>
      </c>
    </row>
    <row r="1079" s="92" customFormat="1" ht="20.1" customHeight="1" spans="1:16">
      <c r="A1079" s="157" t="s">
        <v>3442</v>
      </c>
      <c r="B1079" s="36" t="s">
        <v>3443</v>
      </c>
      <c r="C1079" s="267">
        <v>0</v>
      </c>
      <c r="D1079" s="268">
        <f t="shared" si="221"/>
        <v>0</v>
      </c>
      <c r="E1079" s="267"/>
      <c r="F1079" s="267"/>
      <c r="G1079" s="267"/>
      <c r="H1079" s="267"/>
      <c r="I1079" s="287"/>
      <c r="J1079" s="288">
        <f t="shared" si="228"/>
        <v>0</v>
      </c>
      <c r="K1079" s="276" t="s">
        <v>1087</v>
      </c>
      <c r="L1079" s="33">
        <v>1</v>
      </c>
      <c r="M1079" s="157" t="s">
        <v>3442</v>
      </c>
      <c r="N1079" s="157"/>
      <c r="O1079" s="157" t="s">
        <v>618</v>
      </c>
      <c r="P1079" s="163" t="s">
        <v>3444</v>
      </c>
    </row>
    <row r="1080" s="92" customFormat="1" ht="20.1" customHeight="1" spans="1:16">
      <c r="A1080" s="157" t="s">
        <v>3445</v>
      </c>
      <c r="B1080" s="36" t="s">
        <v>3446</v>
      </c>
      <c r="C1080" s="267"/>
      <c r="D1080" s="268">
        <f t="shared" si="221"/>
        <v>0</v>
      </c>
      <c r="E1080" s="267"/>
      <c r="F1080" s="267"/>
      <c r="G1080" s="267"/>
      <c r="H1080" s="267"/>
      <c r="I1080" s="287"/>
      <c r="J1080" s="288"/>
      <c r="K1080" s="276" t="s">
        <v>1087</v>
      </c>
      <c r="L1080" s="33">
        <v>1</v>
      </c>
      <c r="M1080" s="157" t="s">
        <v>3445</v>
      </c>
      <c r="N1080" s="157"/>
      <c r="O1080" s="157" t="s">
        <v>618</v>
      </c>
      <c r="P1080" s="157" t="s">
        <v>3447</v>
      </c>
    </row>
    <row r="1081" s="92" customFormat="1" ht="20.1" customHeight="1" spans="1:16">
      <c r="A1081" s="157" t="s">
        <v>3448</v>
      </c>
      <c r="B1081" s="36" t="s">
        <v>3449</v>
      </c>
      <c r="C1081" s="267"/>
      <c r="D1081" s="268">
        <f t="shared" si="221"/>
        <v>0</v>
      </c>
      <c r="E1081" s="267"/>
      <c r="F1081" s="267"/>
      <c r="G1081" s="267"/>
      <c r="H1081" s="267"/>
      <c r="I1081" s="287"/>
      <c r="J1081" s="288">
        <f t="shared" si="228"/>
        <v>0</v>
      </c>
      <c r="K1081" s="276" t="s">
        <v>1087</v>
      </c>
      <c r="L1081" s="33">
        <v>1</v>
      </c>
      <c r="M1081" s="157" t="s">
        <v>3448</v>
      </c>
      <c r="N1081" s="157"/>
      <c r="O1081" s="157" t="s">
        <v>618</v>
      </c>
      <c r="P1081" s="163" t="s">
        <v>3450</v>
      </c>
    </row>
    <row r="1082" s="93" customFormat="1" ht="20.1" customHeight="1" spans="1:16">
      <c r="A1082" s="263" t="s">
        <v>619</v>
      </c>
      <c r="B1082" s="297" t="s">
        <v>3451</v>
      </c>
      <c r="C1082" s="265">
        <f t="shared" ref="C1082:I1082" si="229">SUM(C1083:C1089)</f>
        <v>0</v>
      </c>
      <c r="D1082" s="265">
        <f t="shared" si="221"/>
        <v>0</v>
      </c>
      <c r="E1082" s="265">
        <f t="shared" si="229"/>
        <v>0</v>
      </c>
      <c r="F1082" s="265">
        <f t="shared" si="229"/>
        <v>0</v>
      </c>
      <c r="G1082" s="265">
        <f t="shared" si="229"/>
        <v>0</v>
      </c>
      <c r="H1082" s="265">
        <f t="shared" si="229"/>
        <v>0</v>
      </c>
      <c r="I1082" s="265">
        <f t="shared" si="229"/>
        <v>0</v>
      </c>
      <c r="J1082" s="298">
        <f t="shared" si="228"/>
        <v>0</v>
      </c>
      <c r="K1082" s="284" t="s">
        <v>1082</v>
      </c>
      <c r="L1082" s="285"/>
      <c r="M1082" s="263" t="s">
        <v>619</v>
      </c>
      <c r="N1082" s="263" t="s">
        <v>613</v>
      </c>
      <c r="O1082" s="263" t="s">
        <v>619</v>
      </c>
      <c r="P1082" s="286" t="s">
        <v>3452</v>
      </c>
    </row>
    <row r="1083" s="92" customFormat="1" ht="20.1" customHeight="1" spans="1:16">
      <c r="A1083" s="157" t="s">
        <v>3453</v>
      </c>
      <c r="B1083" s="36" t="s">
        <v>1086</v>
      </c>
      <c r="C1083" s="267"/>
      <c r="D1083" s="268">
        <f t="shared" si="221"/>
        <v>0</v>
      </c>
      <c r="E1083" s="267"/>
      <c r="F1083" s="267"/>
      <c r="G1083" s="267"/>
      <c r="H1083" s="267"/>
      <c r="I1083" s="287"/>
      <c r="J1083" s="288">
        <f t="shared" si="228"/>
        <v>0</v>
      </c>
      <c r="K1083" s="276" t="s">
        <v>1087</v>
      </c>
      <c r="L1083" s="33">
        <v>1</v>
      </c>
      <c r="M1083" s="157" t="s">
        <v>3453</v>
      </c>
      <c r="N1083" s="157"/>
      <c r="O1083" s="157" t="s">
        <v>619</v>
      </c>
      <c r="P1083" s="164" t="s">
        <v>1088</v>
      </c>
    </row>
    <row r="1084" s="92" customFormat="1" ht="20.1" customHeight="1" spans="1:16">
      <c r="A1084" s="157" t="s">
        <v>3454</v>
      </c>
      <c r="B1084" s="36" t="s">
        <v>1090</v>
      </c>
      <c r="C1084" s="267">
        <v>0</v>
      </c>
      <c r="D1084" s="268">
        <f t="shared" si="221"/>
        <v>0</v>
      </c>
      <c r="E1084" s="267"/>
      <c r="F1084" s="267"/>
      <c r="G1084" s="267"/>
      <c r="H1084" s="267"/>
      <c r="I1084" s="287"/>
      <c r="J1084" s="288">
        <f t="shared" si="228"/>
        <v>0</v>
      </c>
      <c r="K1084" s="276" t="s">
        <v>1087</v>
      </c>
      <c r="L1084" s="33">
        <v>1</v>
      </c>
      <c r="M1084" s="157" t="s">
        <v>3454</v>
      </c>
      <c r="N1084" s="157"/>
      <c r="O1084" s="157" t="s">
        <v>619</v>
      </c>
      <c r="P1084" s="164" t="s">
        <v>1091</v>
      </c>
    </row>
    <row r="1085" s="92" customFormat="1" ht="20.1" customHeight="1" spans="1:16">
      <c r="A1085" s="157" t="s">
        <v>3455</v>
      </c>
      <c r="B1085" s="36" t="s">
        <v>1093</v>
      </c>
      <c r="C1085" s="267">
        <v>0</v>
      </c>
      <c r="D1085" s="268">
        <f t="shared" si="221"/>
        <v>0</v>
      </c>
      <c r="E1085" s="267"/>
      <c r="F1085" s="267"/>
      <c r="G1085" s="267"/>
      <c r="H1085" s="267"/>
      <c r="I1085" s="287"/>
      <c r="J1085" s="288">
        <f t="shared" si="228"/>
        <v>0</v>
      </c>
      <c r="K1085" s="276" t="s">
        <v>1087</v>
      </c>
      <c r="L1085" s="33">
        <v>1</v>
      </c>
      <c r="M1085" s="157" t="s">
        <v>3455</v>
      </c>
      <c r="N1085" s="157"/>
      <c r="O1085" s="157" t="s">
        <v>619</v>
      </c>
      <c r="P1085" s="164" t="s">
        <v>1094</v>
      </c>
    </row>
    <row r="1086" s="92" customFormat="1" ht="20.1" customHeight="1" spans="1:16">
      <c r="A1086" s="157" t="s">
        <v>3456</v>
      </c>
      <c r="B1086" s="36" t="s">
        <v>3457</v>
      </c>
      <c r="C1086" s="267">
        <v>0</v>
      </c>
      <c r="D1086" s="268">
        <f t="shared" si="221"/>
        <v>0</v>
      </c>
      <c r="E1086" s="267"/>
      <c r="F1086" s="267"/>
      <c r="G1086" s="267"/>
      <c r="H1086" s="267"/>
      <c r="I1086" s="287"/>
      <c r="J1086" s="288">
        <f t="shared" si="228"/>
        <v>0</v>
      </c>
      <c r="K1086" s="276" t="s">
        <v>1087</v>
      </c>
      <c r="L1086" s="33">
        <v>1</v>
      </c>
      <c r="M1086" s="157" t="s">
        <v>3456</v>
      </c>
      <c r="N1086" s="157"/>
      <c r="O1086" s="157" t="s">
        <v>619</v>
      </c>
      <c r="P1086" s="163" t="s">
        <v>3458</v>
      </c>
    </row>
    <row r="1087" s="92" customFormat="1" ht="20.1" customHeight="1" spans="1:16">
      <c r="A1087" s="157" t="s">
        <v>3459</v>
      </c>
      <c r="B1087" s="36" t="s">
        <v>3460</v>
      </c>
      <c r="C1087" s="267">
        <v>0</v>
      </c>
      <c r="D1087" s="268">
        <f t="shared" si="221"/>
        <v>0</v>
      </c>
      <c r="E1087" s="267"/>
      <c r="F1087" s="267"/>
      <c r="G1087" s="267"/>
      <c r="H1087" s="267"/>
      <c r="I1087" s="287"/>
      <c r="J1087" s="288">
        <f t="shared" si="228"/>
        <v>0</v>
      </c>
      <c r="K1087" s="276" t="s">
        <v>1087</v>
      </c>
      <c r="L1087" s="33">
        <v>1</v>
      </c>
      <c r="M1087" s="157" t="s">
        <v>3459</v>
      </c>
      <c r="N1087" s="157"/>
      <c r="O1087" s="157" t="s">
        <v>619</v>
      </c>
      <c r="P1087" s="163" t="s">
        <v>3461</v>
      </c>
    </row>
    <row r="1088" s="92" customFormat="1" ht="20.1" customHeight="1" spans="1:16">
      <c r="A1088" s="157" t="s">
        <v>3462</v>
      </c>
      <c r="B1088" s="36" t="s">
        <v>3463</v>
      </c>
      <c r="C1088" s="267"/>
      <c r="D1088" s="268">
        <f t="shared" si="221"/>
        <v>0</v>
      </c>
      <c r="E1088" s="267"/>
      <c r="F1088" s="267"/>
      <c r="G1088" s="267"/>
      <c r="H1088" s="267"/>
      <c r="I1088" s="287"/>
      <c r="J1088" s="288"/>
      <c r="K1088" s="276" t="s">
        <v>1087</v>
      </c>
      <c r="L1088" s="33">
        <v>1</v>
      </c>
      <c r="M1088" s="157" t="s">
        <v>3462</v>
      </c>
      <c r="N1088" s="157"/>
      <c r="O1088" s="157" t="s">
        <v>619</v>
      </c>
      <c r="P1088" s="163" t="s">
        <v>3464</v>
      </c>
    </row>
    <row r="1089" s="92" customFormat="1" ht="20.1" customHeight="1" spans="1:16">
      <c r="A1089" s="157" t="s">
        <v>3465</v>
      </c>
      <c r="B1089" s="36" t="s">
        <v>3466</v>
      </c>
      <c r="C1089" s="267"/>
      <c r="D1089" s="268">
        <f t="shared" si="221"/>
        <v>0</v>
      </c>
      <c r="E1089" s="267"/>
      <c r="F1089" s="267"/>
      <c r="G1089" s="267"/>
      <c r="H1089" s="267"/>
      <c r="I1089" s="287"/>
      <c r="J1089" s="288">
        <f t="shared" ref="J1089:J1123" si="230">ROUND(IF(C1089=0,IF(D1089=0,0,1),IF(D1089=0,-1,D1089/C1089)),4)*100</f>
        <v>0</v>
      </c>
      <c r="K1089" s="276" t="s">
        <v>1087</v>
      </c>
      <c r="L1089" s="33">
        <v>1</v>
      </c>
      <c r="M1089" s="157" t="s">
        <v>3465</v>
      </c>
      <c r="N1089" s="157"/>
      <c r="O1089" s="157" t="s">
        <v>619</v>
      </c>
      <c r="P1089" s="163" t="s">
        <v>3467</v>
      </c>
    </row>
    <row r="1090" s="93" customFormat="1" ht="20.1" customHeight="1" spans="1:16">
      <c r="A1090" s="263" t="s">
        <v>620</v>
      </c>
      <c r="B1090" s="297" t="s">
        <v>3468</v>
      </c>
      <c r="C1090" s="265">
        <f t="shared" ref="C1090:I1090" si="231">SUM(C1091:C1095)</f>
        <v>700</v>
      </c>
      <c r="D1090" s="265">
        <f t="shared" si="221"/>
        <v>600</v>
      </c>
      <c r="E1090" s="265">
        <f t="shared" si="231"/>
        <v>0</v>
      </c>
      <c r="F1090" s="265">
        <f t="shared" si="231"/>
        <v>0</v>
      </c>
      <c r="G1090" s="265">
        <f t="shared" si="231"/>
        <v>600</v>
      </c>
      <c r="H1090" s="265">
        <f t="shared" si="231"/>
        <v>0</v>
      </c>
      <c r="I1090" s="265">
        <f t="shared" si="231"/>
        <v>0</v>
      </c>
      <c r="J1090" s="298">
        <f t="shared" si="230"/>
        <v>85.71</v>
      </c>
      <c r="K1090" s="284" t="s">
        <v>1082</v>
      </c>
      <c r="L1090" s="285"/>
      <c r="M1090" s="263" t="s">
        <v>620</v>
      </c>
      <c r="N1090" s="263" t="s">
        <v>613</v>
      </c>
      <c r="O1090" s="263" t="s">
        <v>620</v>
      </c>
      <c r="P1090" s="286" t="s">
        <v>3469</v>
      </c>
    </row>
    <row r="1091" s="92" customFormat="1" ht="20.1" customHeight="1" spans="1:16">
      <c r="A1091" s="157" t="s">
        <v>3470</v>
      </c>
      <c r="B1091" s="36" t="s">
        <v>3471</v>
      </c>
      <c r="C1091" s="267">
        <v>0</v>
      </c>
      <c r="D1091" s="268">
        <f t="shared" si="221"/>
        <v>0</v>
      </c>
      <c r="E1091" s="267"/>
      <c r="F1091" s="267"/>
      <c r="G1091" s="267"/>
      <c r="H1091" s="267"/>
      <c r="I1091" s="287"/>
      <c r="J1091" s="288">
        <f t="shared" si="230"/>
        <v>0</v>
      </c>
      <c r="K1091" s="276" t="s">
        <v>1087</v>
      </c>
      <c r="L1091" s="33">
        <v>1</v>
      </c>
      <c r="M1091" s="157" t="s">
        <v>3470</v>
      </c>
      <c r="N1091" s="157"/>
      <c r="O1091" s="157" t="s">
        <v>620</v>
      </c>
      <c r="P1091" s="163" t="s">
        <v>3472</v>
      </c>
    </row>
    <row r="1092" s="92" customFormat="1" ht="20.1" customHeight="1" spans="1:16">
      <c r="A1092" s="157" t="s">
        <v>3473</v>
      </c>
      <c r="B1092" s="36" t="s">
        <v>3474</v>
      </c>
      <c r="C1092" s="267">
        <v>0</v>
      </c>
      <c r="D1092" s="268">
        <f t="shared" si="221"/>
        <v>0</v>
      </c>
      <c r="E1092" s="267"/>
      <c r="F1092" s="267"/>
      <c r="G1092" s="267"/>
      <c r="H1092" s="267"/>
      <c r="I1092" s="287"/>
      <c r="J1092" s="288">
        <f t="shared" si="230"/>
        <v>0</v>
      </c>
      <c r="K1092" s="276" t="s">
        <v>1087</v>
      </c>
      <c r="L1092" s="33">
        <v>1</v>
      </c>
      <c r="M1092" s="157" t="s">
        <v>3473</v>
      </c>
      <c r="N1092" s="157"/>
      <c r="O1092" s="157" t="s">
        <v>620</v>
      </c>
      <c r="P1092" s="163" t="s">
        <v>3475</v>
      </c>
    </row>
    <row r="1093" s="92" customFormat="1" ht="20.1" customHeight="1" spans="1:16">
      <c r="A1093" s="157" t="s">
        <v>3476</v>
      </c>
      <c r="B1093" s="36" t="s">
        <v>3477</v>
      </c>
      <c r="C1093" s="267">
        <v>0</v>
      </c>
      <c r="D1093" s="268">
        <f t="shared" si="221"/>
        <v>0</v>
      </c>
      <c r="E1093" s="267"/>
      <c r="F1093" s="267"/>
      <c r="G1093" s="267"/>
      <c r="H1093" s="267"/>
      <c r="I1093" s="287"/>
      <c r="J1093" s="288">
        <f t="shared" si="230"/>
        <v>0</v>
      </c>
      <c r="K1093" s="276" t="s">
        <v>1087</v>
      </c>
      <c r="L1093" s="33">
        <v>1</v>
      </c>
      <c r="M1093" s="157" t="s">
        <v>3476</v>
      </c>
      <c r="N1093" s="157"/>
      <c r="O1093" s="157" t="s">
        <v>620</v>
      </c>
      <c r="P1093" s="163" t="s">
        <v>3478</v>
      </c>
    </row>
    <row r="1094" s="92" customFormat="1" ht="20.1" customHeight="1" spans="1:16">
      <c r="A1094" s="157" t="s">
        <v>3479</v>
      </c>
      <c r="B1094" s="36" t="s">
        <v>3480</v>
      </c>
      <c r="C1094" s="267">
        <v>0</v>
      </c>
      <c r="D1094" s="268">
        <f t="shared" ref="D1094:D1157" si="232">SUM(E1094:I1094)</f>
        <v>0</v>
      </c>
      <c r="E1094" s="267"/>
      <c r="F1094" s="267"/>
      <c r="G1094" s="267"/>
      <c r="H1094" s="267"/>
      <c r="I1094" s="287"/>
      <c r="J1094" s="288">
        <f t="shared" si="230"/>
        <v>0</v>
      </c>
      <c r="K1094" s="276" t="s">
        <v>1087</v>
      </c>
      <c r="L1094" s="33">
        <v>1</v>
      </c>
      <c r="M1094" s="157" t="s">
        <v>3479</v>
      </c>
      <c r="N1094" s="157"/>
      <c r="O1094" s="157" t="s">
        <v>620</v>
      </c>
      <c r="P1094" s="163" t="s">
        <v>3481</v>
      </c>
    </row>
    <row r="1095" s="92" customFormat="1" ht="20.1" customHeight="1" spans="1:16">
      <c r="A1095" s="157" t="s">
        <v>3482</v>
      </c>
      <c r="B1095" s="36" t="s">
        <v>382</v>
      </c>
      <c r="C1095" s="267">
        <v>700</v>
      </c>
      <c r="D1095" s="268">
        <f t="shared" si="232"/>
        <v>600</v>
      </c>
      <c r="E1095" s="267"/>
      <c r="F1095" s="267"/>
      <c r="G1095" s="267">
        <v>600</v>
      </c>
      <c r="H1095" s="267"/>
      <c r="I1095" s="287"/>
      <c r="J1095" s="288">
        <f t="shared" si="230"/>
        <v>85.71</v>
      </c>
      <c r="K1095" s="276" t="s">
        <v>1087</v>
      </c>
      <c r="L1095" s="33">
        <v>1</v>
      </c>
      <c r="M1095" s="157" t="s">
        <v>3482</v>
      </c>
      <c r="N1095" s="157"/>
      <c r="O1095" s="157" t="s">
        <v>620</v>
      </c>
      <c r="P1095" s="163" t="s">
        <v>3469</v>
      </c>
    </row>
    <row r="1096" s="93" customFormat="1" ht="20.1" customHeight="1" spans="1:16">
      <c r="A1096" s="154" t="s">
        <v>621</v>
      </c>
      <c r="B1096" s="261" t="s">
        <v>383</v>
      </c>
      <c r="C1096" s="262">
        <f t="shared" ref="C1096:I1096" si="233">C1097+C1107+C1113</f>
        <v>538</v>
      </c>
      <c r="D1096" s="262">
        <f t="shared" si="232"/>
        <v>107</v>
      </c>
      <c r="E1096" s="262">
        <f t="shared" si="233"/>
        <v>0</v>
      </c>
      <c r="F1096" s="262">
        <f t="shared" si="233"/>
        <v>0</v>
      </c>
      <c r="G1096" s="262">
        <f t="shared" si="233"/>
        <v>0</v>
      </c>
      <c r="H1096" s="262">
        <f t="shared" si="233"/>
        <v>0</v>
      </c>
      <c r="I1096" s="262">
        <f t="shared" si="233"/>
        <v>107</v>
      </c>
      <c r="J1096" s="279">
        <f t="shared" si="230"/>
        <v>19.89</v>
      </c>
      <c r="K1096" s="280" t="s">
        <v>1081</v>
      </c>
      <c r="L1096" s="281"/>
      <c r="M1096" s="154" t="s">
        <v>621</v>
      </c>
      <c r="N1096" s="154" t="s">
        <v>621</v>
      </c>
      <c r="O1096" s="154" t="s">
        <v>621</v>
      </c>
      <c r="P1096" s="282" t="s">
        <v>3483</v>
      </c>
    </row>
    <row r="1097" s="93" customFormat="1" ht="20.1" customHeight="1" spans="1:16">
      <c r="A1097" s="263" t="s">
        <v>622</v>
      </c>
      <c r="B1097" s="297" t="s">
        <v>3484</v>
      </c>
      <c r="C1097" s="265">
        <f t="shared" ref="C1097:I1097" si="234">SUM(C1098:C1106)</f>
        <v>538</v>
      </c>
      <c r="D1097" s="265">
        <f t="shared" si="232"/>
        <v>107</v>
      </c>
      <c r="E1097" s="265">
        <f t="shared" si="234"/>
        <v>0</v>
      </c>
      <c r="F1097" s="265">
        <f t="shared" si="234"/>
        <v>0</v>
      </c>
      <c r="G1097" s="265">
        <f t="shared" si="234"/>
        <v>0</v>
      </c>
      <c r="H1097" s="265">
        <f t="shared" si="234"/>
        <v>0</v>
      </c>
      <c r="I1097" s="265">
        <f t="shared" si="234"/>
        <v>107</v>
      </c>
      <c r="J1097" s="298">
        <f t="shared" si="230"/>
        <v>19.89</v>
      </c>
      <c r="K1097" s="284" t="s">
        <v>1082</v>
      </c>
      <c r="L1097" s="285"/>
      <c r="M1097" s="263" t="s">
        <v>622</v>
      </c>
      <c r="N1097" s="263" t="s">
        <v>621</v>
      </c>
      <c r="O1097" s="263" t="s">
        <v>622</v>
      </c>
      <c r="P1097" s="286" t="s">
        <v>3485</v>
      </c>
    </row>
    <row r="1098" s="92" customFormat="1" ht="20.1" customHeight="1" spans="1:16">
      <c r="A1098" s="157" t="s">
        <v>3486</v>
      </c>
      <c r="B1098" s="36" t="s">
        <v>1086</v>
      </c>
      <c r="C1098" s="267"/>
      <c r="D1098" s="268">
        <f t="shared" si="232"/>
        <v>0</v>
      </c>
      <c r="E1098" s="267"/>
      <c r="F1098" s="267"/>
      <c r="G1098" s="267"/>
      <c r="H1098" s="267"/>
      <c r="I1098" s="287"/>
      <c r="J1098" s="288">
        <f t="shared" si="230"/>
        <v>0</v>
      </c>
      <c r="K1098" s="276" t="s">
        <v>1087</v>
      </c>
      <c r="L1098" s="33">
        <v>1</v>
      </c>
      <c r="M1098" s="157" t="s">
        <v>3486</v>
      </c>
      <c r="N1098" s="157"/>
      <c r="O1098" s="157" t="s">
        <v>622</v>
      </c>
      <c r="P1098" s="164" t="s">
        <v>1088</v>
      </c>
    </row>
    <row r="1099" s="92" customFormat="1" ht="20.1" customHeight="1" spans="1:16">
      <c r="A1099" s="157" t="s">
        <v>3487</v>
      </c>
      <c r="B1099" s="36" t="s">
        <v>1090</v>
      </c>
      <c r="C1099" s="267">
        <v>109</v>
      </c>
      <c r="D1099" s="268">
        <f t="shared" si="232"/>
        <v>107</v>
      </c>
      <c r="E1099" s="267"/>
      <c r="F1099" s="267"/>
      <c r="G1099" s="267"/>
      <c r="H1099" s="267"/>
      <c r="I1099" s="287">
        <v>107</v>
      </c>
      <c r="J1099" s="288">
        <f t="shared" si="230"/>
        <v>98.17</v>
      </c>
      <c r="K1099" s="276" t="s">
        <v>1087</v>
      </c>
      <c r="L1099" s="33">
        <v>1</v>
      </c>
      <c r="M1099" s="157" t="s">
        <v>3487</v>
      </c>
      <c r="N1099" s="157"/>
      <c r="O1099" s="157" t="s">
        <v>622</v>
      </c>
      <c r="P1099" s="164" t="s">
        <v>1091</v>
      </c>
    </row>
    <row r="1100" s="92" customFormat="1" ht="20.1" customHeight="1" spans="1:16">
      <c r="A1100" s="157" t="s">
        <v>3488</v>
      </c>
      <c r="B1100" s="36" t="s">
        <v>1093</v>
      </c>
      <c r="C1100" s="267"/>
      <c r="D1100" s="268">
        <f t="shared" si="232"/>
        <v>0</v>
      </c>
      <c r="E1100" s="267"/>
      <c r="F1100" s="267"/>
      <c r="G1100" s="267"/>
      <c r="H1100" s="267"/>
      <c r="I1100" s="287"/>
      <c r="J1100" s="288">
        <f t="shared" si="230"/>
        <v>0</v>
      </c>
      <c r="K1100" s="276" t="s">
        <v>1087</v>
      </c>
      <c r="L1100" s="33">
        <v>1</v>
      </c>
      <c r="M1100" s="157" t="s">
        <v>3488</v>
      </c>
      <c r="N1100" s="157"/>
      <c r="O1100" s="157" t="s">
        <v>622</v>
      </c>
      <c r="P1100" s="164" t="s">
        <v>1094</v>
      </c>
    </row>
    <row r="1101" s="92" customFormat="1" ht="20.1" customHeight="1" spans="1:16">
      <c r="A1101" s="157" t="s">
        <v>3489</v>
      </c>
      <c r="B1101" s="36" t="s">
        <v>3490</v>
      </c>
      <c r="C1101" s="267"/>
      <c r="D1101" s="268">
        <f t="shared" si="232"/>
        <v>0</v>
      </c>
      <c r="E1101" s="267"/>
      <c r="F1101" s="267"/>
      <c r="G1101" s="267"/>
      <c r="H1101" s="267"/>
      <c r="I1101" s="287"/>
      <c r="J1101" s="288">
        <f t="shared" si="230"/>
        <v>0</v>
      </c>
      <c r="K1101" s="276" t="s">
        <v>1087</v>
      </c>
      <c r="L1101" s="33">
        <v>1</v>
      </c>
      <c r="M1101" s="157" t="s">
        <v>3489</v>
      </c>
      <c r="N1101" s="157"/>
      <c r="O1101" s="157" t="s">
        <v>622</v>
      </c>
      <c r="P1101" s="163" t="s">
        <v>3491</v>
      </c>
    </row>
    <row r="1102" s="92" customFormat="1" ht="20.1" customHeight="1" spans="1:16">
      <c r="A1102" s="157" t="s">
        <v>3492</v>
      </c>
      <c r="B1102" s="36" t="s">
        <v>3493</v>
      </c>
      <c r="C1102" s="267"/>
      <c r="D1102" s="268">
        <f t="shared" si="232"/>
        <v>0</v>
      </c>
      <c r="E1102" s="267"/>
      <c r="F1102" s="267"/>
      <c r="G1102" s="267"/>
      <c r="H1102" s="267"/>
      <c r="I1102" s="287"/>
      <c r="J1102" s="288">
        <f t="shared" si="230"/>
        <v>0</v>
      </c>
      <c r="K1102" s="276" t="s">
        <v>1087</v>
      </c>
      <c r="L1102" s="33">
        <v>1</v>
      </c>
      <c r="M1102" s="157" t="s">
        <v>3492</v>
      </c>
      <c r="N1102" s="157"/>
      <c r="O1102" s="157" t="s">
        <v>622</v>
      </c>
      <c r="P1102" s="163" t="s">
        <v>3494</v>
      </c>
    </row>
    <row r="1103" s="92" customFormat="1" ht="20.1" customHeight="1" spans="1:16">
      <c r="A1103" s="157" t="s">
        <v>3495</v>
      </c>
      <c r="B1103" s="36" t="s">
        <v>3496</v>
      </c>
      <c r="C1103" s="267"/>
      <c r="D1103" s="268">
        <f t="shared" si="232"/>
        <v>0</v>
      </c>
      <c r="E1103" s="267"/>
      <c r="F1103" s="267"/>
      <c r="G1103" s="267"/>
      <c r="H1103" s="267"/>
      <c r="I1103" s="287"/>
      <c r="J1103" s="288">
        <f t="shared" si="230"/>
        <v>0</v>
      </c>
      <c r="K1103" s="276" t="s">
        <v>1087</v>
      </c>
      <c r="L1103" s="33">
        <v>1</v>
      </c>
      <c r="M1103" s="157" t="s">
        <v>3495</v>
      </c>
      <c r="N1103" s="157"/>
      <c r="O1103" s="157" t="s">
        <v>622</v>
      </c>
      <c r="P1103" s="163" t="s">
        <v>3497</v>
      </c>
    </row>
    <row r="1104" s="92" customFormat="1" ht="20.1" customHeight="1" spans="1:16">
      <c r="A1104" s="157" t="s">
        <v>3498</v>
      </c>
      <c r="B1104" s="36" t="s">
        <v>3499</v>
      </c>
      <c r="C1104" s="267"/>
      <c r="D1104" s="268">
        <f t="shared" si="232"/>
        <v>0</v>
      </c>
      <c r="E1104" s="267"/>
      <c r="F1104" s="267"/>
      <c r="G1104" s="267"/>
      <c r="H1104" s="267"/>
      <c r="I1104" s="287"/>
      <c r="J1104" s="288">
        <f t="shared" si="230"/>
        <v>0</v>
      </c>
      <c r="K1104" s="276" t="s">
        <v>1087</v>
      </c>
      <c r="L1104" s="33">
        <v>1</v>
      </c>
      <c r="M1104" s="157" t="s">
        <v>3498</v>
      </c>
      <c r="N1104" s="157"/>
      <c r="O1104" s="157" t="s">
        <v>622</v>
      </c>
      <c r="P1104" s="163" t="s">
        <v>3500</v>
      </c>
    </row>
    <row r="1105" s="92" customFormat="1" ht="20.1" customHeight="1" spans="1:16">
      <c r="A1105" s="157" t="s">
        <v>3501</v>
      </c>
      <c r="B1105" s="36" t="s">
        <v>1114</v>
      </c>
      <c r="C1105" s="267"/>
      <c r="D1105" s="268">
        <f t="shared" si="232"/>
        <v>0</v>
      </c>
      <c r="E1105" s="267"/>
      <c r="F1105" s="267"/>
      <c r="G1105" s="267"/>
      <c r="H1105" s="267"/>
      <c r="I1105" s="287"/>
      <c r="J1105" s="288">
        <f t="shared" si="230"/>
        <v>0</v>
      </c>
      <c r="K1105" s="276" t="s">
        <v>1087</v>
      </c>
      <c r="L1105" s="33">
        <v>1</v>
      </c>
      <c r="M1105" s="157" t="s">
        <v>3501</v>
      </c>
      <c r="N1105" s="157"/>
      <c r="O1105" s="157" t="s">
        <v>622</v>
      </c>
      <c r="P1105" s="164" t="s">
        <v>1115</v>
      </c>
    </row>
    <row r="1106" s="92" customFormat="1" ht="20.1" customHeight="1" spans="1:16">
      <c r="A1106" s="157" t="s">
        <v>3502</v>
      </c>
      <c r="B1106" s="36" t="s">
        <v>3503</v>
      </c>
      <c r="C1106" s="267">
        <v>429</v>
      </c>
      <c r="D1106" s="268">
        <f t="shared" si="232"/>
        <v>0</v>
      </c>
      <c r="E1106" s="267"/>
      <c r="F1106" s="267"/>
      <c r="G1106" s="267"/>
      <c r="H1106" s="267"/>
      <c r="I1106" s="287"/>
      <c r="J1106" s="288">
        <f t="shared" si="230"/>
        <v>-100</v>
      </c>
      <c r="K1106" s="276" t="s">
        <v>1087</v>
      </c>
      <c r="L1106" s="33">
        <v>1</v>
      </c>
      <c r="M1106" s="157" t="s">
        <v>3502</v>
      </c>
      <c r="N1106" s="157"/>
      <c r="O1106" s="157" t="s">
        <v>622</v>
      </c>
      <c r="P1106" s="163" t="s">
        <v>3504</v>
      </c>
    </row>
    <row r="1107" s="93" customFormat="1" ht="20.1" customHeight="1" spans="1:16">
      <c r="A1107" s="263" t="s">
        <v>623</v>
      </c>
      <c r="B1107" s="297" t="s">
        <v>3505</v>
      </c>
      <c r="C1107" s="265">
        <v>0</v>
      </c>
      <c r="D1107" s="265">
        <f t="shared" si="232"/>
        <v>0</v>
      </c>
      <c r="E1107" s="265">
        <f t="shared" ref="E1107:H1107" si="235">SUM(E1108:E1112)</f>
        <v>0</v>
      </c>
      <c r="F1107" s="265">
        <f t="shared" si="235"/>
        <v>0</v>
      </c>
      <c r="G1107" s="265">
        <f>VLOOKUP(A1107,[1]√表四、2024年公共财政支出变动表!$A$7:$R$214,18,FALSE)</f>
        <v>0</v>
      </c>
      <c r="H1107" s="265">
        <f t="shared" si="235"/>
        <v>0</v>
      </c>
      <c r="I1107" s="265"/>
      <c r="J1107" s="298">
        <f t="shared" si="230"/>
        <v>0</v>
      </c>
      <c r="K1107" s="284" t="s">
        <v>1082</v>
      </c>
      <c r="L1107" s="285"/>
      <c r="M1107" s="263" t="s">
        <v>623</v>
      </c>
      <c r="N1107" s="263" t="s">
        <v>621</v>
      </c>
      <c r="O1107" s="263" t="s">
        <v>623</v>
      </c>
      <c r="P1107" s="286" t="s">
        <v>3506</v>
      </c>
    </row>
    <row r="1108" s="92" customFormat="1" ht="20.1" customHeight="1" spans="1:16">
      <c r="A1108" s="157" t="s">
        <v>3507</v>
      </c>
      <c r="B1108" s="36" t="s">
        <v>1086</v>
      </c>
      <c r="C1108" s="267">
        <v>0</v>
      </c>
      <c r="D1108" s="268">
        <f t="shared" si="232"/>
        <v>0</v>
      </c>
      <c r="E1108" s="267"/>
      <c r="F1108" s="267"/>
      <c r="G1108" s="267"/>
      <c r="H1108" s="267"/>
      <c r="I1108" s="287"/>
      <c r="J1108" s="288">
        <f t="shared" si="230"/>
        <v>0</v>
      </c>
      <c r="K1108" s="276" t="s">
        <v>1087</v>
      </c>
      <c r="L1108" s="33">
        <v>1</v>
      </c>
      <c r="M1108" s="157" t="s">
        <v>3507</v>
      </c>
      <c r="N1108" s="157"/>
      <c r="O1108" s="157" t="s">
        <v>623</v>
      </c>
      <c r="P1108" s="164" t="s">
        <v>1088</v>
      </c>
    </row>
    <row r="1109" s="92" customFormat="1" ht="20.1" customHeight="1" spans="1:16">
      <c r="A1109" s="157" t="s">
        <v>3508</v>
      </c>
      <c r="B1109" s="36" t="s">
        <v>1090</v>
      </c>
      <c r="C1109" s="267">
        <v>0</v>
      </c>
      <c r="D1109" s="268">
        <f t="shared" si="232"/>
        <v>0</v>
      </c>
      <c r="E1109" s="267"/>
      <c r="F1109" s="267"/>
      <c r="G1109" s="267"/>
      <c r="H1109" s="267"/>
      <c r="I1109" s="287"/>
      <c r="J1109" s="288">
        <f t="shared" si="230"/>
        <v>0</v>
      </c>
      <c r="K1109" s="276" t="s">
        <v>1087</v>
      </c>
      <c r="L1109" s="33">
        <v>1</v>
      </c>
      <c r="M1109" s="157" t="s">
        <v>3508</v>
      </c>
      <c r="N1109" s="157"/>
      <c r="O1109" s="157" t="s">
        <v>623</v>
      </c>
      <c r="P1109" s="164" t="s">
        <v>1091</v>
      </c>
    </row>
    <row r="1110" s="92" customFormat="1" ht="20.1" customHeight="1" spans="1:16">
      <c r="A1110" s="157" t="s">
        <v>3509</v>
      </c>
      <c r="B1110" s="36" t="s">
        <v>1093</v>
      </c>
      <c r="C1110" s="267">
        <v>0</v>
      </c>
      <c r="D1110" s="268">
        <f t="shared" si="232"/>
        <v>0</v>
      </c>
      <c r="E1110" s="267"/>
      <c r="F1110" s="267"/>
      <c r="G1110" s="267"/>
      <c r="H1110" s="267"/>
      <c r="I1110" s="287"/>
      <c r="J1110" s="288">
        <f t="shared" si="230"/>
        <v>0</v>
      </c>
      <c r="K1110" s="276" t="s">
        <v>1087</v>
      </c>
      <c r="L1110" s="33">
        <v>1</v>
      </c>
      <c r="M1110" s="157" t="s">
        <v>3509</v>
      </c>
      <c r="N1110" s="157"/>
      <c r="O1110" s="157" t="s">
        <v>623</v>
      </c>
      <c r="P1110" s="164" t="s">
        <v>1094</v>
      </c>
    </row>
    <row r="1111" s="92" customFormat="1" ht="20.1" customHeight="1" spans="1:16">
      <c r="A1111" s="157" t="s">
        <v>3510</v>
      </c>
      <c r="B1111" s="36" t="s">
        <v>3511</v>
      </c>
      <c r="C1111" s="267">
        <v>0</v>
      </c>
      <c r="D1111" s="268">
        <f t="shared" si="232"/>
        <v>0</v>
      </c>
      <c r="E1111" s="267"/>
      <c r="F1111" s="267"/>
      <c r="G1111" s="267"/>
      <c r="H1111" s="267"/>
      <c r="I1111" s="287"/>
      <c r="J1111" s="288">
        <f t="shared" si="230"/>
        <v>0</v>
      </c>
      <c r="K1111" s="276" t="s">
        <v>1087</v>
      </c>
      <c r="L1111" s="33">
        <v>1</v>
      </c>
      <c r="M1111" s="157" t="s">
        <v>3510</v>
      </c>
      <c r="N1111" s="157"/>
      <c r="O1111" s="157" t="s">
        <v>623</v>
      </c>
      <c r="P1111" s="163" t="s">
        <v>3512</v>
      </c>
    </row>
    <row r="1112" s="92" customFormat="1" ht="20.1" customHeight="1" spans="1:16">
      <c r="A1112" s="157" t="s">
        <v>3513</v>
      </c>
      <c r="B1112" s="36" t="s">
        <v>3514</v>
      </c>
      <c r="C1112" s="267">
        <v>0</v>
      </c>
      <c r="D1112" s="268">
        <f t="shared" si="232"/>
        <v>0</v>
      </c>
      <c r="E1112" s="267"/>
      <c r="F1112" s="267"/>
      <c r="G1112" s="267"/>
      <c r="H1112" s="267"/>
      <c r="I1112" s="287"/>
      <c r="J1112" s="288">
        <f t="shared" si="230"/>
        <v>0</v>
      </c>
      <c r="K1112" s="276" t="s">
        <v>1087</v>
      </c>
      <c r="L1112" s="33">
        <v>1</v>
      </c>
      <c r="M1112" s="157" t="s">
        <v>3513</v>
      </c>
      <c r="N1112" s="157"/>
      <c r="O1112" s="157" t="s">
        <v>623</v>
      </c>
      <c r="P1112" s="163" t="s">
        <v>3515</v>
      </c>
    </row>
    <row r="1113" s="93" customFormat="1" ht="20.1" customHeight="1" spans="1:16">
      <c r="A1113" s="263" t="s">
        <v>624</v>
      </c>
      <c r="B1113" s="297" t="s">
        <v>3516</v>
      </c>
      <c r="C1113" s="265">
        <v>0</v>
      </c>
      <c r="D1113" s="265">
        <f t="shared" si="232"/>
        <v>0</v>
      </c>
      <c r="E1113" s="265">
        <f t="shared" ref="E1113:H1113" si="236">SUM(E1114:E1115)</f>
        <v>0</v>
      </c>
      <c r="F1113" s="265">
        <f t="shared" si="236"/>
        <v>0</v>
      </c>
      <c r="G1113" s="265">
        <f>VLOOKUP(A1113,[1]√表四、2024年公共财政支出变动表!$A$7:$R$214,18,FALSE)</f>
        <v>0</v>
      </c>
      <c r="H1113" s="265">
        <f t="shared" si="236"/>
        <v>0</v>
      </c>
      <c r="I1113" s="265"/>
      <c r="J1113" s="298">
        <f t="shared" si="230"/>
        <v>0</v>
      </c>
      <c r="K1113" s="284" t="s">
        <v>1082</v>
      </c>
      <c r="L1113" s="285"/>
      <c r="M1113" s="263" t="s">
        <v>624</v>
      </c>
      <c r="N1113" s="263" t="s">
        <v>621</v>
      </c>
      <c r="O1113" s="263" t="s">
        <v>624</v>
      </c>
      <c r="P1113" s="286" t="s">
        <v>3517</v>
      </c>
    </row>
    <row r="1114" s="92" customFormat="1" ht="20.1" customHeight="1" spans="1:16">
      <c r="A1114" s="157" t="s">
        <v>3518</v>
      </c>
      <c r="B1114" s="36" t="s">
        <v>3519</v>
      </c>
      <c r="C1114" s="267">
        <v>0</v>
      </c>
      <c r="D1114" s="268">
        <f t="shared" si="232"/>
        <v>0</v>
      </c>
      <c r="E1114" s="267"/>
      <c r="F1114" s="267"/>
      <c r="G1114" s="267"/>
      <c r="H1114" s="267"/>
      <c r="I1114" s="287"/>
      <c r="J1114" s="288">
        <f t="shared" si="230"/>
        <v>0</v>
      </c>
      <c r="K1114" s="276" t="s">
        <v>1087</v>
      </c>
      <c r="L1114" s="33">
        <v>1</v>
      </c>
      <c r="M1114" s="157" t="s">
        <v>3518</v>
      </c>
      <c r="N1114" s="157"/>
      <c r="O1114" s="157" t="s">
        <v>624</v>
      </c>
      <c r="P1114" s="163" t="s">
        <v>3520</v>
      </c>
    </row>
    <row r="1115" s="92" customFormat="1" ht="20.1" customHeight="1" spans="1:16">
      <c r="A1115" s="157" t="s">
        <v>3521</v>
      </c>
      <c r="B1115" s="36" t="s">
        <v>386</v>
      </c>
      <c r="C1115" s="267">
        <v>0</v>
      </c>
      <c r="D1115" s="268">
        <f t="shared" si="232"/>
        <v>0</v>
      </c>
      <c r="E1115" s="267"/>
      <c r="F1115" s="267"/>
      <c r="G1115" s="267"/>
      <c r="H1115" s="267"/>
      <c r="I1115" s="287"/>
      <c r="J1115" s="288">
        <f t="shared" si="230"/>
        <v>0</v>
      </c>
      <c r="K1115" s="276" t="s">
        <v>1087</v>
      </c>
      <c r="L1115" s="33">
        <v>1</v>
      </c>
      <c r="M1115" s="157" t="s">
        <v>3521</v>
      </c>
      <c r="N1115" s="157"/>
      <c r="O1115" s="157" t="s">
        <v>624</v>
      </c>
      <c r="P1115" s="163" t="s">
        <v>3517</v>
      </c>
    </row>
    <row r="1116" s="93" customFormat="1" ht="20.1" customHeight="1" spans="1:16">
      <c r="A1116" s="154" t="s">
        <v>625</v>
      </c>
      <c r="B1116" s="261" t="s">
        <v>387</v>
      </c>
      <c r="C1116" s="262">
        <f t="shared" ref="C1116:I1116" si="237">C1117+C1124+C1134+C1140+C1143</f>
        <v>65</v>
      </c>
      <c r="D1116" s="262">
        <f t="shared" si="232"/>
        <v>0</v>
      </c>
      <c r="E1116" s="262">
        <f t="shared" si="237"/>
        <v>0</v>
      </c>
      <c r="F1116" s="262">
        <f t="shared" si="237"/>
        <v>0</v>
      </c>
      <c r="G1116" s="262">
        <f t="shared" si="237"/>
        <v>0</v>
      </c>
      <c r="H1116" s="262">
        <f t="shared" si="237"/>
        <v>0</v>
      </c>
      <c r="I1116" s="262">
        <f t="shared" si="237"/>
        <v>0</v>
      </c>
      <c r="J1116" s="279">
        <f t="shared" si="230"/>
        <v>-100</v>
      </c>
      <c r="K1116" s="280" t="s">
        <v>1081</v>
      </c>
      <c r="L1116" s="281"/>
      <c r="M1116" s="154" t="s">
        <v>625</v>
      </c>
      <c r="N1116" s="154" t="s">
        <v>625</v>
      </c>
      <c r="O1116" s="154" t="s">
        <v>625</v>
      </c>
      <c r="P1116" s="282" t="s">
        <v>3522</v>
      </c>
    </row>
    <row r="1117" s="93" customFormat="1" ht="20.1" customHeight="1" spans="1:16">
      <c r="A1117" s="263" t="s">
        <v>626</v>
      </c>
      <c r="B1117" s="297" t="s">
        <v>3523</v>
      </c>
      <c r="C1117" s="265">
        <f t="shared" ref="C1117:I1117" si="238">SUM(C1118:C1123)</f>
        <v>0</v>
      </c>
      <c r="D1117" s="265">
        <f t="shared" si="232"/>
        <v>0</v>
      </c>
      <c r="E1117" s="265">
        <f t="shared" si="238"/>
        <v>0</v>
      </c>
      <c r="F1117" s="265">
        <f t="shared" si="238"/>
        <v>0</v>
      </c>
      <c r="G1117" s="265">
        <f t="shared" si="238"/>
        <v>0</v>
      </c>
      <c r="H1117" s="265">
        <f t="shared" si="238"/>
        <v>0</v>
      </c>
      <c r="I1117" s="265">
        <f t="shared" si="238"/>
        <v>0</v>
      </c>
      <c r="J1117" s="298">
        <f t="shared" si="230"/>
        <v>0</v>
      </c>
      <c r="K1117" s="284" t="s">
        <v>1082</v>
      </c>
      <c r="L1117" s="285"/>
      <c r="M1117" s="263" t="s">
        <v>626</v>
      </c>
      <c r="N1117" s="263" t="s">
        <v>625</v>
      </c>
      <c r="O1117" s="263" t="s">
        <v>626</v>
      </c>
      <c r="P1117" s="286" t="s">
        <v>3524</v>
      </c>
    </row>
    <row r="1118" s="92" customFormat="1" ht="20.1" customHeight="1" spans="1:16">
      <c r="A1118" s="157" t="s">
        <v>3525</v>
      </c>
      <c r="B1118" s="36" t="s">
        <v>1086</v>
      </c>
      <c r="C1118" s="267">
        <v>0</v>
      </c>
      <c r="D1118" s="268">
        <f t="shared" si="232"/>
        <v>0</v>
      </c>
      <c r="E1118" s="267"/>
      <c r="F1118" s="267"/>
      <c r="G1118" s="267"/>
      <c r="H1118" s="267"/>
      <c r="I1118" s="287"/>
      <c r="J1118" s="288">
        <f t="shared" si="230"/>
        <v>0</v>
      </c>
      <c r="K1118" s="276" t="s">
        <v>1087</v>
      </c>
      <c r="L1118" s="33">
        <v>1</v>
      </c>
      <c r="M1118" s="157" t="s">
        <v>3525</v>
      </c>
      <c r="N1118" s="157"/>
      <c r="O1118" s="157" t="s">
        <v>626</v>
      </c>
      <c r="P1118" s="164" t="s">
        <v>1088</v>
      </c>
    </row>
    <row r="1119" s="92" customFormat="1" ht="20.1" customHeight="1" spans="1:16">
      <c r="A1119" s="157" t="s">
        <v>3526</v>
      </c>
      <c r="B1119" s="36" t="s">
        <v>1090</v>
      </c>
      <c r="C1119" s="267">
        <v>0</v>
      </c>
      <c r="D1119" s="268">
        <f t="shared" si="232"/>
        <v>0</v>
      </c>
      <c r="E1119" s="267"/>
      <c r="F1119" s="267"/>
      <c r="G1119" s="267"/>
      <c r="H1119" s="267"/>
      <c r="I1119" s="287"/>
      <c r="J1119" s="288">
        <f t="shared" si="230"/>
        <v>0</v>
      </c>
      <c r="K1119" s="276" t="s">
        <v>1087</v>
      </c>
      <c r="L1119" s="33">
        <v>1</v>
      </c>
      <c r="M1119" s="157" t="s">
        <v>3526</v>
      </c>
      <c r="N1119" s="157"/>
      <c r="O1119" s="157" t="s">
        <v>626</v>
      </c>
      <c r="P1119" s="164" t="s">
        <v>1091</v>
      </c>
    </row>
    <row r="1120" s="92" customFormat="1" ht="20.1" customHeight="1" spans="1:16">
      <c r="A1120" s="157" t="s">
        <v>3527</v>
      </c>
      <c r="B1120" s="36" t="s">
        <v>1093</v>
      </c>
      <c r="C1120" s="267">
        <v>0</v>
      </c>
      <c r="D1120" s="268">
        <f t="shared" si="232"/>
        <v>0</v>
      </c>
      <c r="E1120" s="267"/>
      <c r="F1120" s="267"/>
      <c r="G1120" s="267"/>
      <c r="H1120" s="267"/>
      <c r="I1120" s="287"/>
      <c r="J1120" s="288">
        <f t="shared" si="230"/>
        <v>0</v>
      </c>
      <c r="K1120" s="276" t="s">
        <v>1087</v>
      </c>
      <c r="L1120" s="33">
        <v>1</v>
      </c>
      <c r="M1120" s="157" t="s">
        <v>3527</v>
      </c>
      <c r="N1120" s="157"/>
      <c r="O1120" s="157" t="s">
        <v>626</v>
      </c>
      <c r="P1120" s="164" t="s">
        <v>1094</v>
      </c>
    </row>
    <row r="1121" s="92" customFormat="1" ht="20.1" customHeight="1" spans="1:16">
      <c r="A1121" s="157" t="s">
        <v>3528</v>
      </c>
      <c r="B1121" s="36" t="s">
        <v>3529</v>
      </c>
      <c r="C1121" s="267">
        <v>0</v>
      </c>
      <c r="D1121" s="268">
        <f t="shared" si="232"/>
        <v>0</v>
      </c>
      <c r="E1121" s="267"/>
      <c r="F1121" s="267"/>
      <c r="G1121" s="267"/>
      <c r="H1121" s="267"/>
      <c r="I1121" s="287"/>
      <c r="J1121" s="288">
        <f t="shared" si="230"/>
        <v>0</v>
      </c>
      <c r="K1121" s="276" t="s">
        <v>1087</v>
      </c>
      <c r="L1121" s="33">
        <v>1</v>
      </c>
      <c r="M1121" s="157" t="s">
        <v>3528</v>
      </c>
      <c r="N1121" s="157"/>
      <c r="O1121" s="157" t="s">
        <v>626</v>
      </c>
      <c r="P1121" s="163" t="s">
        <v>3530</v>
      </c>
    </row>
    <row r="1122" s="92" customFormat="1" ht="20.1" customHeight="1" spans="1:16">
      <c r="A1122" s="157" t="s">
        <v>3531</v>
      </c>
      <c r="B1122" s="36" t="s">
        <v>1114</v>
      </c>
      <c r="C1122" s="267">
        <v>0</v>
      </c>
      <c r="D1122" s="268">
        <f t="shared" si="232"/>
        <v>0</v>
      </c>
      <c r="E1122" s="267"/>
      <c r="F1122" s="267"/>
      <c r="G1122" s="267"/>
      <c r="H1122" s="267"/>
      <c r="I1122" s="287"/>
      <c r="J1122" s="288">
        <f t="shared" si="230"/>
        <v>0</v>
      </c>
      <c r="K1122" s="276" t="s">
        <v>1087</v>
      </c>
      <c r="L1122" s="33">
        <v>1</v>
      </c>
      <c r="M1122" s="157" t="s">
        <v>3531</v>
      </c>
      <c r="N1122" s="157"/>
      <c r="O1122" s="157" t="s">
        <v>626</v>
      </c>
      <c r="P1122" s="164" t="s">
        <v>1115</v>
      </c>
    </row>
    <row r="1123" s="92" customFormat="1" ht="20.1" customHeight="1" spans="1:16">
      <c r="A1123" s="157" t="s">
        <v>3532</v>
      </c>
      <c r="B1123" s="36" t="s">
        <v>3533</v>
      </c>
      <c r="C1123" s="267">
        <v>0</v>
      </c>
      <c r="D1123" s="268">
        <f t="shared" si="232"/>
        <v>0</v>
      </c>
      <c r="E1123" s="267"/>
      <c r="F1123" s="267"/>
      <c r="G1123" s="267"/>
      <c r="H1123" s="267"/>
      <c r="I1123" s="287"/>
      <c r="J1123" s="288">
        <f t="shared" si="230"/>
        <v>0</v>
      </c>
      <c r="K1123" s="276" t="s">
        <v>1087</v>
      </c>
      <c r="L1123" s="33">
        <v>1</v>
      </c>
      <c r="M1123" s="157" t="s">
        <v>3532</v>
      </c>
      <c r="N1123" s="157"/>
      <c r="O1123" s="157" t="s">
        <v>626</v>
      </c>
      <c r="P1123" s="163" t="s">
        <v>3534</v>
      </c>
    </row>
    <row r="1124" s="93" customFormat="1" ht="20.1" customHeight="1" spans="1:16">
      <c r="A1124" s="263" t="s">
        <v>3535</v>
      </c>
      <c r="B1124" s="297" t="s">
        <v>3536</v>
      </c>
      <c r="C1124" s="265">
        <f t="shared" ref="C1124:I1124" si="239">SUM(C1125:C1133)</f>
        <v>0</v>
      </c>
      <c r="D1124" s="265">
        <f t="shared" si="232"/>
        <v>0</v>
      </c>
      <c r="E1124" s="265">
        <f t="shared" si="239"/>
        <v>0</v>
      </c>
      <c r="F1124" s="265">
        <f t="shared" si="239"/>
        <v>0</v>
      </c>
      <c r="G1124" s="265">
        <f t="shared" si="239"/>
        <v>0</v>
      </c>
      <c r="H1124" s="265">
        <f t="shared" si="239"/>
        <v>0</v>
      </c>
      <c r="I1124" s="265">
        <f t="shared" si="239"/>
        <v>0</v>
      </c>
      <c r="J1124" s="298"/>
      <c r="K1124" s="284" t="s">
        <v>1082</v>
      </c>
      <c r="L1124" s="285"/>
      <c r="M1124" s="263" t="s">
        <v>3535</v>
      </c>
      <c r="N1124" s="263" t="s">
        <v>625</v>
      </c>
      <c r="O1124" s="263" t="s">
        <v>3535</v>
      </c>
      <c r="P1124" s="297" t="s">
        <v>3537</v>
      </c>
    </row>
    <row r="1125" s="92" customFormat="1" ht="20.1" customHeight="1" spans="1:16">
      <c r="A1125" s="157" t="s">
        <v>3538</v>
      </c>
      <c r="B1125" s="36" t="s">
        <v>3539</v>
      </c>
      <c r="C1125" s="267"/>
      <c r="D1125" s="268">
        <f t="shared" si="232"/>
        <v>0</v>
      </c>
      <c r="E1125" s="267"/>
      <c r="F1125" s="267"/>
      <c r="G1125" s="267"/>
      <c r="H1125" s="267"/>
      <c r="I1125" s="287"/>
      <c r="J1125" s="288"/>
      <c r="K1125" s="276" t="s">
        <v>1087</v>
      </c>
      <c r="L1125" s="33">
        <v>1</v>
      </c>
      <c r="M1125" s="157" t="s">
        <v>3538</v>
      </c>
      <c r="N1125" s="157"/>
      <c r="O1125" s="294" t="s">
        <v>3535</v>
      </c>
      <c r="P1125" s="36" t="s">
        <v>3540</v>
      </c>
    </row>
    <row r="1126" s="92" customFormat="1" ht="20.1" customHeight="1" spans="1:16">
      <c r="A1126" s="157" t="s">
        <v>3541</v>
      </c>
      <c r="B1126" s="36" t="s">
        <v>3542</v>
      </c>
      <c r="C1126" s="267"/>
      <c r="D1126" s="268">
        <f t="shared" si="232"/>
        <v>0</v>
      </c>
      <c r="E1126" s="267"/>
      <c r="F1126" s="267"/>
      <c r="G1126" s="267"/>
      <c r="H1126" s="267"/>
      <c r="I1126" s="287"/>
      <c r="J1126" s="288"/>
      <c r="K1126" s="276" t="s">
        <v>1087</v>
      </c>
      <c r="L1126" s="33">
        <v>1</v>
      </c>
      <c r="M1126" s="157" t="s">
        <v>3541</v>
      </c>
      <c r="N1126" s="157"/>
      <c r="O1126" s="294" t="s">
        <v>3535</v>
      </c>
      <c r="P1126" s="36" t="s">
        <v>3543</v>
      </c>
    </row>
    <row r="1127" s="92" customFormat="1" ht="20.1" customHeight="1" spans="1:16">
      <c r="A1127" s="157" t="s">
        <v>3544</v>
      </c>
      <c r="B1127" s="36" t="s">
        <v>3545</v>
      </c>
      <c r="C1127" s="267"/>
      <c r="D1127" s="268">
        <f t="shared" si="232"/>
        <v>0</v>
      </c>
      <c r="E1127" s="267"/>
      <c r="F1127" s="267"/>
      <c r="G1127" s="267"/>
      <c r="H1127" s="267"/>
      <c r="I1127" s="287"/>
      <c r="J1127" s="288"/>
      <c r="K1127" s="276" t="s">
        <v>1087</v>
      </c>
      <c r="L1127" s="33">
        <v>1</v>
      </c>
      <c r="M1127" s="157" t="s">
        <v>3544</v>
      </c>
      <c r="N1127" s="157"/>
      <c r="O1127" s="294" t="s">
        <v>3535</v>
      </c>
      <c r="P1127" s="36" t="s">
        <v>3546</v>
      </c>
    </row>
    <row r="1128" s="92" customFormat="1" ht="20.1" customHeight="1" spans="1:16">
      <c r="A1128" s="157" t="s">
        <v>3547</v>
      </c>
      <c r="B1128" s="36" t="s">
        <v>3548</v>
      </c>
      <c r="C1128" s="267"/>
      <c r="D1128" s="268">
        <f t="shared" si="232"/>
        <v>0</v>
      </c>
      <c r="E1128" s="267"/>
      <c r="F1128" s="267"/>
      <c r="G1128" s="267"/>
      <c r="H1128" s="267"/>
      <c r="I1128" s="287"/>
      <c r="J1128" s="288"/>
      <c r="K1128" s="276" t="s">
        <v>1087</v>
      </c>
      <c r="L1128" s="33">
        <v>1</v>
      </c>
      <c r="M1128" s="157" t="s">
        <v>3547</v>
      </c>
      <c r="N1128" s="157"/>
      <c r="O1128" s="294" t="s">
        <v>3535</v>
      </c>
      <c r="P1128" s="36" t="s">
        <v>3549</v>
      </c>
    </row>
    <row r="1129" s="92" customFormat="1" ht="20.1" customHeight="1" spans="1:16">
      <c r="A1129" s="157" t="s">
        <v>3550</v>
      </c>
      <c r="B1129" s="36" t="s">
        <v>3551</v>
      </c>
      <c r="C1129" s="267"/>
      <c r="D1129" s="268">
        <f t="shared" si="232"/>
        <v>0</v>
      </c>
      <c r="E1129" s="267"/>
      <c r="F1129" s="267"/>
      <c r="G1129" s="267"/>
      <c r="H1129" s="267"/>
      <c r="I1129" s="287"/>
      <c r="J1129" s="288"/>
      <c r="K1129" s="276" t="s">
        <v>1087</v>
      </c>
      <c r="L1129" s="33">
        <v>1</v>
      </c>
      <c r="M1129" s="157" t="s">
        <v>3550</v>
      </c>
      <c r="N1129" s="157"/>
      <c r="O1129" s="294" t="s">
        <v>3535</v>
      </c>
      <c r="P1129" s="36" t="s">
        <v>3552</v>
      </c>
    </row>
    <row r="1130" s="92" customFormat="1" ht="20.1" customHeight="1" spans="1:16">
      <c r="A1130" s="157" t="s">
        <v>3553</v>
      </c>
      <c r="B1130" s="36" t="s">
        <v>3554</v>
      </c>
      <c r="C1130" s="267"/>
      <c r="D1130" s="268">
        <f t="shared" si="232"/>
        <v>0</v>
      </c>
      <c r="E1130" s="267"/>
      <c r="F1130" s="267"/>
      <c r="G1130" s="267"/>
      <c r="H1130" s="267"/>
      <c r="I1130" s="287"/>
      <c r="J1130" s="288"/>
      <c r="K1130" s="276" t="s">
        <v>1087</v>
      </c>
      <c r="L1130" s="33">
        <v>1</v>
      </c>
      <c r="M1130" s="157" t="s">
        <v>3553</v>
      </c>
      <c r="N1130" s="157"/>
      <c r="O1130" s="294" t="s">
        <v>3535</v>
      </c>
      <c r="P1130" s="36" t="s">
        <v>3555</v>
      </c>
    </row>
    <row r="1131" s="92" customFormat="1" ht="20.1" customHeight="1" spans="1:16">
      <c r="A1131" s="157" t="s">
        <v>3556</v>
      </c>
      <c r="B1131" s="36" t="s">
        <v>3557</v>
      </c>
      <c r="C1131" s="267"/>
      <c r="D1131" s="268">
        <f t="shared" si="232"/>
        <v>0</v>
      </c>
      <c r="E1131" s="267"/>
      <c r="F1131" s="267"/>
      <c r="G1131" s="267"/>
      <c r="H1131" s="267"/>
      <c r="I1131" s="287"/>
      <c r="J1131" s="288"/>
      <c r="K1131" s="276" t="s">
        <v>1087</v>
      </c>
      <c r="L1131" s="33">
        <v>1</v>
      </c>
      <c r="M1131" s="157" t="s">
        <v>3556</v>
      </c>
      <c r="N1131" s="157"/>
      <c r="O1131" s="294" t="s">
        <v>3535</v>
      </c>
      <c r="P1131" s="36" t="s">
        <v>3558</v>
      </c>
    </row>
    <row r="1132" s="92" customFormat="1" ht="20.1" customHeight="1" spans="1:16">
      <c r="A1132" s="157" t="s">
        <v>3559</v>
      </c>
      <c r="B1132" s="36" t="s">
        <v>3560</v>
      </c>
      <c r="C1132" s="267"/>
      <c r="D1132" s="268">
        <f t="shared" si="232"/>
        <v>0</v>
      </c>
      <c r="E1132" s="267"/>
      <c r="F1132" s="267"/>
      <c r="G1132" s="267"/>
      <c r="H1132" s="267"/>
      <c r="I1132" s="287"/>
      <c r="J1132" s="288"/>
      <c r="K1132" s="276" t="s">
        <v>1087</v>
      </c>
      <c r="L1132" s="33">
        <v>1</v>
      </c>
      <c r="M1132" s="157" t="s">
        <v>3559</v>
      </c>
      <c r="N1132" s="157"/>
      <c r="O1132" s="294" t="s">
        <v>3535</v>
      </c>
      <c r="P1132" s="36" t="s">
        <v>3561</v>
      </c>
    </row>
    <row r="1133" s="92" customFormat="1" ht="20.1" customHeight="1" spans="1:16">
      <c r="A1133" s="157" t="s">
        <v>3562</v>
      </c>
      <c r="B1133" s="36" t="s">
        <v>3563</v>
      </c>
      <c r="C1133" s="267"/>
      <c r="D1133" s="268">
        <f t="shared" si="232"/>
        <v>0</v>
      </c>
      <c r="E1133" s="267"/>
      <c r="F1133" s="267"/>
      <c r="G1133" s="267"/>
      <c r="H1133" s="267"/>
      <c r="I1133" s="287"/>
      <c r="J1133" s="288"/>
      <c r="K1133" s="276" t="s">
        <v>1087</v>
      </c>
      <c r="L1133" s="33">
        <v>1</v>
      </c>
      <c r="M1133" s="157" t="s">
        <v>3562</v>
      </c>
      <c r="N1133" s="157"/>
      <c r="O1133" s="294" t="s">
        <v>3535</v>
      </c>
      <c r="P1133" s="36" t="s">
        <v>3564</v>
      </c>
    </row>
    <row r="1134" s="93" customFormat="1" ht="20.1" customHeight="1" spans="1:16">
      <c r="A1134" s="263" t="s">
        <v>627</v>
      </c>
      <c r="B1134" s="297" t="s">
        <v>3565</v>
      </c>
      <c r="C1134" s="265">
        <f t="shared" ref="C1134:I1134" si="240">SUM(C1135:C1139)</f>
        <v>65</v>
      </c>
      <c r="D1134" s="265">
        <f t="shared" si="232"/>
        <v>0</v>
      </c>
      <c r="E1134" s="265">
        <f t="shared" si="240"/>
        <v>0</v>
      </c>
      <c r="F1134" s="265">
        <f t="shared" si="240"/>
        <v>0</v>
      </c>
      <c r="G1134" s="265">
        <f t="shared" si="240"/>
        <v>0</v>
      </c>
      <c r="H1134" s="265">
        <f t="shared" si="240"/>
        <v>0</v>
      </c>
      <c r="I1134" s="265">
        <f t="shared" si="240"/>
        <v>0</v>
      </c>
      <c r="J1134" s="298">
        <f t="shared" ref="J1134:J1143" si="241">ROUND(IF(C1134=0,IF(D1134=0,0,1),IF(D1134=0,-1,D1134/C1134)),4)*100</f>
        <v>-100</v>
      </c>
      <c r="K1134" s="284" t="s">
        <v>1082</v>
      </c>
      <c r="L1134" s="285"/>
      <c r="M1134" s="263" t="s">
        <v>627</v>
      </c>
      <c r="N1134" s="263" t="s">
        <v>625</v>
      </c>
      <c r="O1134" s="263" t="s">
        <v>627</v>
      </c>
      <c r="P1134" s="286" t="s">
        <v>3566</v>
      </c>
    </row>
    <row r="1135" s="92" customFormat="1" ht="20.1" customHeight="1" spans="1:16">
      <c r="A1135" s="157" t="s">
        <v>3567</v>
      </c>
      <c r="B1135" s="36" t="s">
        <v>3568</v>
      </c>
      <c r="C1135" s="267">
        <v>0</v>
      </c>
      <c r="D1135" s="268">
        <f t="shared" si="232"/>
        <v>0</v>
      </c>
      <c r="E1135" s="267"/>
      <c r="F1135" s="267"/>
      <c r="G1135" s="267"/>
      <c r="H1135" s="267"/>
      <c r="I1135" s="287"/>
      <c r="J1135" s="288">
        <f t="shared" si="241"/>
        <v>0</v>
      </c>
      <c r="K1135" s="276" t="s">
        <v>1087</v>
      </c>
      <c r="L1135" s="33">
        <v>1</v>
      </c>
      <c r="M1135" s="157" t="s">
        <v>3567</v>
      </c>
      <c r="N1135" s="157"/>
      <c r="O1135" s="157" t="s">
        <v>627</v>
      </c>
      <c r="P1135" s="163" t="s">
        <v>3569</v>
      </c>
    </row>
    <row r="1136" s="92" customFormat="1" ht="19.5" customHeight="1" spans="1:16">
      <c r="A1136" s="157" t="s">
        <v>3570</v>
      </c>
      <c r="B1136" s="36" t="s">
        <v>3571</v>
      </c>
      <c r="C1136" s="267">
        <v>65</v>
      </c>
      <c r="D1136" s="268">
        <f t="shared" si="232"/>
        <v>0</v>
      </c>
      <c r="E1136" s="267"/>
      <c r="F1136" s="267"/>
      <c r="G1136" s="267"/>
      <c r="H1136" s="267"/>
      <c r="I1136" s="287"/>
      <c r="J1136" s="288">
        <f t="shared" si="241"/>
        <v>-100</v>
      </c>
      <c r="K1136" s="276" t="s">
        <v>1087</v>
      </c>
      <c r="L1136" s="33">
        <v>1</v>
      </c>
      <c r="M1136" s="157" t="s">
        <v>3570</v>
      </c>
      <c r="N1136" s="157"/>
      <c r="O1136" s="157" t="s">
        <v>627</v>
      </c>
      <c r="P1136" s="164" t="s">
        <v>3572</v>
      </c>
    </row>
    <row r="1137" s="92" customFormat="1" ht="20.1" customHeight="1" spans="1:16">
      <c r="A1137" s="157" t="s">
        <v>3573</v>
      </c>
      <c r="B1137" s="36" t="s">
        <v>3574</v>
      </c>
      <c r="C1137" s="267">
        <v>0</v>
      </c>
      <c r="D1137" s="268">
        <f t="shared" si="232"/>
        <v>0</v>
      </c>
      <c r="E1137" s="267"/>
      <c r="F1137" s="267"/>
      <c r="G1137" s="267"/>
      <c r="H1137" s="267"/>
      <c r="I1137" s="287"/>
      <c r="J1137" s="288">
        <f t="shared" si="241"/>
        <v>0</v>
      </c>
      <c r="K1137" s="276" t="s">
        <v>1087</v>
      </c>
      <c r="L1137" s="33">
        <v>1</v>
      </c>
      <c r="M1137" s="157" t="s">
        <v>3573</v>
      </c>
      <c r="N1137" s="157"/>
      <c r="O1137" s="157" t="s">
        <v>627</v>
      </c>
      <c r="P1137" s="163" t="s">
        <v>3575</v>
      </c>
    </row>
    <row r="1138" s="92" customFormat="1" ht="20.1" customHeight="1" spans="1:16">
      <c r="A1138" s="157" t="s">
        <v>3576</v>
      </c>
      <c r="B1138" s="36" t="s">
        <v>3577</v>
      </c>
      <c r="C1138" s="267">
        <v>0</v>
      </c>
      <c r="D1138" s="268">
        <f t="shared" si="232"/>
        <v>0</v>
      </c>
      <c r="E1138" s="267"/>
      <c r="F1138" s="267"/>
      <c r="G1138" s="267"/>
      <c r="H1138" s="267"/>
      <c r="I1138" s="287"/>
      <c r="J1138" s="288">
        <f t="shared" si="241"/>
        <v>0</v>
      </c>
      <c r="K1138" s="276" t="s">
        <v>1087</v>
      </c>
      <c r="L1138" s="33">
        <v>1</v>
      </c>
      <c r="M1138" s="157" t="s">
        <v>3576</v>
      </c>
      <c r="N1138" s="157"/>
      <c r="O1138" s="157" t="s">
        <v>627</v>
      </c>
      <c r="P1138" s="163" t="s">
        <v>3578</v>
      </c>
    </row>
    <row r="1139" s="92" customFormat="1" ht="20.1" customHeight="1" spans="1:16">
      <c r="A1139" s="157" t="s">
        <v>3579</v>
      </c>
      <c r="B1139" s="36" t="s">
        <v>3580</v>
      </c>
      <c r="C1139" s="267">
        <v>0</v>
      </c>
      <c r="D1139" s="268">
        <f t="shared" si="232"/>
        <v>0</v>
      </c>
      <c r="E1139" s="267"/>
      <c r="F1139" s="267"/>
      <c r="G1139" s="267"/>
      <c r="H1139" s="267"/>
      <c r="I1139" s="287"/>
      <c r="J1139" s="288">
        <f t="shared" si="241"/>
        <v>0</v>
      </c>
      <c r="K1139" s="276" t="s">
        <v>1087</v>
      </c>
      <c r="L1139" s="33">
        <v>1</v>
      </c>
      <c r="M1139" s="157" t="s">
        <v>3579</v>
      </c>
      <c r="N1139" s="157"/>
      <c r="O1139" s="157" t="s">
        <v>627</v>
      </c>
      <c r="P1139" s="163" t="s">
        <v>3581</v>
      </c>
    </row>
    <row r="1140" s="93" customFormat="1" ht="20.1" customHeight="1" spans="1:16">
      <c r="A1140" s="263" t="s">
        <v>3582</v>
      </c>
      <c r="B1140" s="297" t="s">
        <v>913</v>
      </c>
      <c r="C1140" s="265">
        <f t="shared" ref="C1140:I1140" si="242">SUM(C1141:C1142)</f>
        <v>0</v>
      </c>
      <c r="D1140" s="265">
        <f t="shared" si="232"/>
        <v>0</v>
      </c>
      <c r="E1140" s="265">
        <f t="shared" si="242"/>
        <v>0</v>
      </c>
      <c r="F1140" s="265">
        <f t="shared" si="242"/>
        <v>0</v>
      </c>
      <c r="G1140" s="265">
        <f t="shared" si="242"/>
        <v>0</v>
      </c>
      <c r="H1140" s="265">
        <f t="shared" si="242"/>
        <v>0</v>
      </c>
      <c r="I1140" s="265">
        <f t="shared" si="242"/>
        <v>0</v>
      </c>
      <c r="J1140" s="298">
        <f t="shared" si="241"/>
        <v>0</v>
      </c>
      <c r="K1140" s="284" t="s">
        <v>1082</v>
      </c>
      <c r="L1140" s="285"/>
      <c r="M1140" s="263" t="s">
        <v>3582</v>
      </c>
      <c r="N1140" s="263" t="s">
        <v>625</v>
      </c>
      <c r="O1140" s="263" t="s">
        <v>3582</v>
      </c>
      <c r="P1140" s="297" t="s">
        <v>3583</v>
      </c>
    </row>
    <row r="1141" s="92" customFormat="1" ht="20.1" customHeight="1" spans="1:16">
      <c r="A1141" s="157" t="s">
        <v>3584</v>
      </c>
      <c r="B1141" s="36" t="s">
        <v>3585</v>
      </c>
      <c r="C1141" s="267">
        <v>0</v>
      </c>
      <c r="D1141" s="268">
        <f t="shared" si="232"/>
        <v>0</v>
      </c>
      <c r="E1141" s="267"/>
      <c r="F1141" s="267"/>
      <c r="G1141" s="267"/>
      <c r="H1141" s="267"/>
      <c r="I1141" s="287"/>
      <c r="J1141" s="288">
        <f t="shared" si="241"/>
        <v>0</v>
      </c>
      <c r="K1141" s="276" t="s">
        <v>1087</v>
      </c>
      <c r="L1141" s="33">
        <v>1</v>
      </c>
      <c r="M1141" s="157" t="s">
        <v>3584</v>
      </c>
      <c r="N1141" s="157"/>
      <c r="O1141" s="157" t="s">
        <v>3582</v>
      </c>
      <c r="P1141" s="36" t="s">
        <v>3586</v>
      </c>
    </row>
    <row r="1142" s="92" customFormat="1" ht="19.5" customHeight="1" spans="1:16">
      <c r="A1142" s="157" t="s">
        <v>3587</v>
      </c>
      <c r="B1142" s="36" t="s">
        <v>3588</v>
      </c>
      <c r="C1142" s="267"/>
      <c r="D1142" s="268">
        <f t="shared" si="232"/>
        <v>0</v>
      </c>
      <c r="E1142" s="267"/>
      <c r="F1142" s="267"/>
      <c r="G1142" s="267"/>
      <c r="H1142" s="267"/>
      <c r="I1142" s="287"/>
      <c r="J1142" s="288">
        <f t="shared" si="241"/>
        <v>0</v>
      </c>
      <c r="K1142" s="276" t="s">
        <v>1087</v>
      </c>
      <c r="L1142" s="33">
        <v>1</v>
      </c>
      <c r="M1142" s="157" t="s">
        <v>3587</v>
      </c>
      <c r="N1142" s="157"/>
      <c r="O1142" s="157" t="s">
        <v>3582</v>
      </c>
      <c r="P1142" s="36" t="s">
        <v>3589</v>
      </c>
    </row>
    <row r="1143" s="93" customFormat="1" ht="20.1" customHeight="1" spans="1:16">
      <c r="A1143" s="263" t="s">
        <v>628</v>
      </c>
      <c r="B1143" s="297" t="s">
        <v>3590</v>
      </c>
      <c r="C1143" s="265">
        <f t="shared" ref="C1143:I1143" si="243">SUM(C1144:C1145)</f>
        <v>0</v>
      </c>
      <c r="D1143" s="265">
        <f t="shared" si="232"/>
        <v>0</v>
      </c>
      <c r="E1143" s="265">
        <f t="shared" si="243"/>
        <v>0</v>
      </c>
      <c r="F1143" s="265">
        <f t="shared" si="243"/>
        <v>0</v>
      </c>
      <c r="G1143" s="265">
        <f t="shared" si="243"/>
        <v>0</v>
      </c>
      <c r="H1143" s="265">
        <f t="shared" si="243"/>
        <v>0</v>
      </c>
      <c r="I1143" s="265">
        <f t="shared" si="243"/>
        <v>0</v>
      </c>
      <c r="J1143" s="298">
        <f t="shared" si="241"/>
        <v>0</v>
      </c>
      <c r="K1143" s="284" t="s">
        <v>1082</v>
      </c>
      <c r="L1143" s="285">
        <v>1</v>
      </c>
      <c r="M1143" s="263" t="s">
        <v>628</v>
      </c>
      <c r="N1143" s="263" t="s">
        <v>625</v>
      </c>
      <c r="O1143" s="263" t="s">
        <v>628</v>
      </c>
      <c r="P1143" s="286" t="s">
        <v>3591</v>
      </c>
    </row>
    <row r="1144" s="92" customFormat="1" ht="20.1" customHeight="1" spans="1:16">
      <c r="A1144" s="157" t="s">
        <v>3592</v>
      </c>
      <c r="B1144" s="36" t="s">
        <v>3593</v>
      </c>
      <c r="C1144" s="267"/>
      <c r="D1144" s="267">
        <f t="shared" si="232"/>
        <v>0</v>
      </c>
      <c r="E1144" s="267"/>
      <c r="F1144" s="267"/>
      <c r="G1144" s="267"/>
      <c r="H1144" s="267"/>
      <c r="I1144" s="287"/>
      <c r="J1144" s="288"/>
      <c r="K1144" s="276" t="s">
        <v>1087</v>
      </c>
      <c r="L1144" s="33">
        <v>1</v>
      </c>
      <c r="M1144" s="157" t="s">
        <v>3592</v>
      </c>
      <c r="N1144" s="157"/>
      <c r="O1144" s="157" t="s">
        <v>628</v>
      </c>
      <c r="P1144" s="163" t="s">
        <v>3594</v>
      </c>
    </row>
    <row r="1145" s="92" customFormat="1" ht="20.1" customHeight="1" spans="1:16">
      <c r="A1145" s="157" t="s">
        <v>3595</v>
      </c>
      <c r="B1145" s="36" t="s">
        <v>392</v>
      </c>
      <c r="C1145" s="267"/>
      <c r="D1145" s="267">
        <f t="shared" si="232"/>
        <v>0</v>
      </c>
      <c r="E1145" s="267"/>
      <c r="F1145" s="267"/>
      <c r="G1145" s="267"/>
      <c r="H1145" s="267"/>
      <c r="I1145" s="287"/>
      <c r="J1145" s="288"/>
      <c r="K1145" s="276" t="s">
        <v>1087</v>
      </c>
      <c r="L1145" s="33">
        <v>1</v>
      </c>
      <c r="M1145" s="157" t="s">
        <v>3595</v>
      </c>
      <c r="N1145" s="157"/>
      <c r="O1145" s="157" t="s">
        <v>628</v>
      </c>
      <c r="P1145" s="163" t="s">
        <v>3591</v>
      </c>
    </row>
    <row r="1146" s="93" customFormat="1" ht="20.1" customHeight="1" spans="1:16">
      <c r="A1146" s="154" t="s">
        <v>629</v>
      </c>
      <c r="B1146" s="261" t="s">
        <v>393</v>
      </c>
      <c r="C1146" s="262">
        <v>0</v>
      </c>
      <c r="D1146" s="262">
        <f t="shared" si="232"/>
        <v>0</v>
      </c>
      <c r="E1146" s="262">
        <f t="shared" ref="E1146:H1146" si="244">SUM(E1147:E1155)</f>
        <v>0</v>
      </c>
      <c r="F1146" s="262">
        <f t="shared" si="244"/>
        <v>0</v>
      </c>
      <c r="G1146" s="262">
        <f>VLOOKUP(A1146,[1]√表四、2024年公共财政支出变动表!$A$7:$R$214,18,FALSE)</f>
        <v>0</v>
      </c>
      <c r="H1146" s="262">
        <f t="shared" si="244"/>
        <v>0</v>
      </c>
      <c r="I1146" s="262"/>
      <c r="J1146" s="279">
        <f t="shared" ref="J1146:J1171" si="245">ROUND(IF(C1146=0,IF(D1146=0,0,1),IF(D1146=0,-1,D1146/C1146)),4)*100</f>
        <v>0</v>
      </c>
      <c r="K1146" s="280" t="s">
        <v>1081</v>
      </c>
      <c r="L1146" s="281"/>
      <c r="M1146" s="154" t="s">
        <v>629</v>
      </c>
      <c r="N1146" s="154" t="s">
        <v>629</v>
      </c>
      <c r="O1146" s="154" t="s">
        <v>629</v>
      </c>
      <c r="P1146" s="282" t="s">
        <v>3596</v>
      </c>
    </row>
    <row r="1147" s="93" customFormat="1" ht="20.1" customHeight="1" spans="1:16">
      <c r="A1147" s="263" t="s">
        <v>630</v>
      </c>
      <c r="B1147" s="297" t="s">
        <v>3597</v>
      </c>
      <c r="C1147" s="265">
        <v>0</v>
      </c>
      <c r="D1147" s="265">
        <f t="shared" si="232"/>
        <v>0</v>
      </c>
      <c r="E1147" s="265"/>
      <c r="F1147" s="265"/>
      <c r="G1147" s="265"/>
      <c r="H1147" s="265"/>
      <c r="I1147" s="265"/>
      <c r="J1147" s="298">
        <f t="shared" si="245"/>
        <v>0</v>
      </c>
      <c r="K1147" s="284" t="s">
        <v>1082</v>
      </c>
      <c r="L1147" s="285">
        <v>1</v>
      </c>
      <c r="M1147" s="263" t="s">
        <v>630</v>
      </c>
      <c r="N1147" s="263" t="s">
        <v>629</v>
      </c>
      <c r="O1147" s="263" t="s">
        <v>630</v>
      </c>
      <c r="P1147" s="286" t="s">
        <v>3598</v>
      </c>
    </row>
    <row r="1148" s="93" customFormat="1" ht="20.1" customHeight="1" spans="1:16">
      <c r="A1148" s="263" t="s">
        <v>631</v>
      </c>
      <c r="B1148" s="118" t="s">
        <v>3599</v>
      </c>
      <c r="C1148" s="265">
        <v>0</v>
      </c>
      <c r="D1148" s="265">
        <f t="shared" si="232"/>
        <v>0</v>
      </c>
      <c r="E1148" s="265"/>
      <c r="F1148" s="265"/>
      <c r="G1148" s="265"/>
      <c r="H1148" s="265"/>
      <c r="I1148" s="321"/>
      <c r="J1148" s="283">
        <f t="shared" si="245"/>
        <v>0</v>
      </c>
      <c r="K1148" s="284" t="s">
        <v>1082</v>
      </c>
      <c r="L1148" s="285">
        <v>1</v>
      </c>
      <c r="M1148" s="263" t="s">
        <v>631</v>
      </c>
      <c r="N1148" s="263" t="s">
        <v>629</v>
      </c>
      <c r="O1148" s="263" t="s">
        <v>631</v>
      </c>
      <c r="P1148" s="322" t="s">
        <v>3600</v>
      </c>
    </row>
    <row r="1149" s="93" customFormat="1" ht="20.1" customHeight="1" spans="1:16">
      <c r="A1149" s="263" t="s">
        <v>632</v>
      </c>
      <c r="B1149" s="118" t="s">
        <v>3601</v>
      </c>
      <c r="C1149" s="265">
        <v>0</v>
      </c>
      <c r="D1149" s="265">
        <f t="shared" si="232"/>
        <v>0</v>
      </c>
      <c r="E1149" s="265"/>
      <c r="F1149" s="265"/>
      <c r="G1149" s="265"/>
      <c r="H1149" s="265"/>
      <c r="I1149" s="321"/>
      <c r="J1149" s="283">
        <f t="shared" si="245"/>
        <v>0</v>
      </c>
      <c r="K1149" s="284" t="s">
        <v>1082</v>
      </c>
      <c r="L1149" s="285">
        <v>1</v>
      </c>
      <c r="M1149" s="263" t="s">
        <v>632</v>
      </c>
      <c r="N1149" s="263" t="s">
        <v>629</v>
      </c>
      <c r="O1149" s="263" t="s">
        <v>632</v>
      </c>
      <c r="P1149" s="322" t="s">
        <v>3602</v>
      </c>
    </row>
    <row r="1150" s="93" customFormat="1" ht="20.1" customHeight="1" spans="1:16">
      <c r="A1150" s="263" t="s">
        <v>633</v>
      </c>
      <c r="B1150" s="118" t="s">
        <v>3603</v>
      </c>
      <c r="C1150" s="265">
        <v>0</v>
      </c>
      <c r="D1150" s="265">
        <f t="shared" si="232"/>
        <v>0</v>
      </c>
      <c r="E1150" s="265"/>
      <c r="F1150" s="265"/>
      <c r="G1150" s="265"/>
      <c r="H1150" s="265"/>
      <c r="I1150" s="321"/>
      <c r="J1150" s="283">
        <f t="shared" si="245"/>
        <v>0</v>
      </c>
      <c r="K1150" s="284" t="s">
        <v>1082</v>
      </c>
      <c r="L1150" s="285">
        <v>1</v>
      </c>
      <c r="M1150" s="263" t="s">
        <v>633</v>
      </c>
      <c r="N1150" s="263" t="s">
        <v>629</v>
      </c>
      <c r="O1150" s="263" t="s">
        <v>633</v>
      </c>
      <c r="P1150" s="322" t="s">
        <v>3604</v>
      </c>
    </row>
    <row r="1151" s="93" customFormat="1" ht="20.1" customHeight="1" spans="1:16">
      <c r="A1151" s="263" t="s">
        <v>634</v>
      </c>
      <c r="B1151" s="118" t="s">
        <v>3605</v>
      </c>
      <c r="C1151" s="265">
        <v>0</v>
      </c>
      <c r="D1151" s="265">
        <f t="shared" si="232"/>
        <v>0</v>
      </c>
      <c r="E1151" s="265"/>
      <c r="F1151" s="265"/>
      <c r="G1151" s="265"/>
      <c r="H1151" s="265"/>
      <c r="I1151" s="321"/>
      <c r="J1151" s="283">
        <f t="shared" si="245"/>
        <v>0</v>
      </c>
      <c r="K1151" s="284" t="s">
        <v>1082</v>
      </c>
      <c r="L1151" s="285">
        <v>1</v>
      </c>
      <c r="M1151" s="263" t="s">
        <v>634</v>
      </c>
      <c r="N1151" s="263" t="s">
        <v>629</v>
      </c>
      <c r="O1151" s="263" t="s">
        <v>634</v>
      </c>
      <c r="P1151" s="322" t="s">
        <v>3606</v>
      </c>
    </row>
    <row r="1152" s="93" customFormat="1" ht="20.1" customHeight="1" spans="1:16">
      <c r="A1152" s="263" t="s">
        <v>635</v>
      </c>
      <c r="B1152" s="118" t="s">
        <v>2944</v>
      </c>
      <c r="C1152" s="265">
        <v>0</v>
      </c>
      <c r="D1152" s="265">
        <f t="shared" si="232"/>
        <v>0</v>
      </c>
      <c r="E1152" s="265"/>
      <c r="F1152" s="265"/>
      <c r="G1152" s="265"/>
      <c r="H1152" s="265"/>
      <c r="I1152" s="321"/>
      <c r="J1152" s="283">
        <f t="shared" si="245"/>
        <v>0</v>
      </c>
      <c r="K1152" s="284" t="s">
        <v>1082</v>
      </c>
      <c r="L1152" s="285">
        <v>1</v>
      </c>
      <c r="M1152" s="263" t="s">
        <v>635</v>
      </c>
      <c r="N1152" s="263" t="s">
        <v>629</v>
      </c>
      <c r="O1152" s="263" t="s">
        <v>635</v>
      </c>
      <c r="P1152" s="322" t="s">
        <v>2945</v>
      </c>
    </row>
    <row r="1153" s="93" customFormat="1" ht="20.1" customHeight="1" spans="1:16">
      <c r="A1153" s="263" t="s">
        <v>636</v>
      </c>
      <c r="B1153" s="118" t="s">
        <v>3607</v>
      </c>
      <c r="C1153" s="265">
        <v>0</v>
      </c>
      <c r="D1153" s="265">
        <f t="shared" si="232"/>
        <v>0</v>
      </c>
      <c r="E1153" s="265"/>
      <c r="F1153" s="265"/>
      <c r="G1153" s="265"/>
      <c r="H1153" s="265"/>
      <c r="I1153" s="321"/>
      <c r="J1153" s="283">
        <f t="shared" si="245"/>
        <v>0</v>
      </c>
      <c r="K1153" s="284" t="s">
        <v>1082</v>
      </c>
      <c r="L1153" s="285">
        <v>1</v>
      </c>
      <c r="M1153" s="263" t="s">
        <v>636</v>
      </c>
      <c r="N1153" s="263" t="s">
        <v>629</v>
      </c>
      <c r="O1153" s="263" t="s">
        <v>636</v>
      </c>
      <c r="P1153" s="322" t="s">
        <v>3608</v>
      </c>
    </row>
    <row r="1154" s="93" customFormat="1" ht="20.1" customHeight="1" spans="1:16">
      <c r="A1154" s="263" t="s">
        <v>637</v>
      </c>
      <c r="B1154" s="118" t="s">
        <v>3609</v>
      </c>
      <c r="C1154" s="265">
        <v>0</v>
      </c>
      <c r="D1154" s="265">
        <f t="shared" si="232"/>
        <v>0</v>
      </c>
      <c r="E1154" s="265"/>
      <c r="F1154" s="265"/>
      <c r="G1154" s="265"/>
      <c r="H1154" s="265"/>
      <c r="I1154" s="321"/>
      <c r="J1154" s="283">
        <f t="shared" si="245"/>
        <v>0</v>
      </c>
      <c r="K1154" s="284" t="s">
        <v>1082</v>
      </c>
      <c r="L1154" s="285">
        <v>1</v>
      </c>
      <c r="M1154" s="263" t="s">
        <v>637</v>
      </c>
      <c r="N1154" s="263" t="s">
        <v>629</v>
      </c>
      <c r="O1154" s="263" t="s">
        <v>637</v>
      </c>
      <c r="P1154" s="322" t="s">
        <v>3610</v>
      </c>
    </row>
    <row r="1155" s="93" customFormat="1" ht="20.1" customHeight="1" spans="1:16">
      <c r="A1155" s="263" t="s">
        <v>638</v>
      </c>
      <c r="B1155" s="118" t="s">
        <v>3611</v>
      </c>
      <c r="C1155" s="265">
        <v>0</v>
      </c>
      <c r="D1155" s="265">
        <f t="shared" si="232"/>
        <v>0</v>
      </c>
      <c r="E1155" s="265"/>
      <c r="F1155" s="265"/>
      <c r="G1155" s="265"/>
      <c r="H1155" s="265"/>
      <c r="I1155" s="321"/>
      <c r="J1155" s="283">
        <f t="shared" si="245"/>
        <v>0</v>
      </c>
      <c r="K1155" s="284" t="s">
        <v>1082</v>
      </c>
      <c r="L1155" s="285">
        <v>1</v>
      </c>
      <c r="M1155" s="263" t="s">
        <v>638</v>
      </c>
      <c r="N1155" s="263" t="s">
        <v>629</v>
      </c>
      <c r="O1155" s="263" t="s">
        <v>638</v>
      </c>
      <c r="P1155" s="322" t="s">
        <v>1624</v>
      </c>
    </row>
    <row r="1156" s="93" customFormat="1" ht="20.1" customHeight="1" spans="1:16">
      <c r="A1156" s="154" t="s">
        <v>639</v>
      </c>
      <c r="B1156" s="261" t="s">
        <v>395</v>
      </c>
      <c r="C1156" s="262">
        <f t="shared" ref="C1156:I1156" si="246">C1157+C1184+C1199</f>
        <v>1185</v>
      </c>
      <c r="D1156" s="262">
        <f t="shared" si="232"/>
        <v>974</v>
      </c>
      <c r="E1156" s="262">
        <f t="shared" si="246"/>
        <v>0</v>
      </c>
      <c r="F1156" s="262">
        <f t="shared" si="246"/>
        <v>5</v>
      </c>
      <c r="G1156" s="262">
        <f t="shared" si="246"/>
        <v>65</v>
      </c>
      <c r="H1156" s="262">
        <f t="shared" si="246"/>
        <v>0</v>
      </c>
      <c r="I1156" s="262">
        <f t="shared" si="246"/>
        <v>904</v>
      </c>
      <c r="J1156" s="279">
        <f t="shared" si="245"/>
        <v>82.19</v>
      </c>
      <c r="K1156" s="280" t="s">
        <v>1081</v>
      </c>
      <c r="L1156" s="281"/>
      <c r="M1156" s="154" t="s">
        <v>639</v>
      </c>
      <c r="N1156" s="154" t="s">
        <v>639</v>
      </c>
      <c r="O1156" s="154" t="s">
        <v>639</v>
      </c>
      <c r="P1156" s="282" t="s">
        <v>3612</v>
      </c>
    </row>
    <row r="1157" s="93" customFormat="1" ht="20.1" customHeight="1" spans="1:16">
      <c r="A1157" s="263" t="s">
        <v>640</v>
      </c>
      <c r="B1157" s="297" t="s">
        <v>3613</v>
      </c>
      <c r="C1157" s="265">
        <f t="shared" ref="C1157:I1157" si="247">SUM(C1158:C1183)</f>
        <v>1132</v>
      </c>
      <c r="D1157" s="265">
        <f t="shared" si="232"/>
        <v>888</v>
      </c>
      <c r="E1157" s="265">
        <f t="shared" si="247"/>
        <v>0</v>
      </c>
      <c r="F1157" s="265">
        <f t="shared" si="247"/>
        <v>5</v>
      </c>
      <c r="G1157" s="265">
        <f t="shared" si="247"/>
        <v>65</v>
      </c>
      <c r="H1157" s="265">
        <f t="shared" si="247"/>
        <v>0</v>
      </c>
      <c r="I1157" s="265">
        <f t="shared" si="247"/>
        <v>818</v>
      </c>
      <c r="J1157" s="298">
        <f t="shared" si="245"/>
        <v>78.45</v>
      </c>
      <c r="K1157" s="284" t="s">
        <v>1082</v>
      </c>
      <c r="L1157" s="285"/>
      <c r="M1157" s="263" t="s">
        <v>640</v>
      </c>
      <c r="N1157" s="263" t="s">
        <v>639</v>
      </c>
      <c r="O1157" s="263" t="s">
        <v>640</v>
      </c>
      <c r="P1157" s="286" t="s">
        <v>3614</v>
      </c>
    </row>
    <row r="1158" s="92" customFormat="1" ht="20.1" customHeight="1" spans="1:16">
      <c r="A1158" s="157" t="s">
        <v>3615</v>
      </c>
      <c r="B1158" s="36" t="s">
        <v>1086</v>
      </c>
      <c r="C1158" s="267">
        <v>521</v>
      </c>
      <c r="D1158" s="268">
        <f t="shared" ref="D1158:D1199" si="248">SUM(E1158:I1158)</f>
        <v>495</v>
      </c>
      <c r="E1158" s="267"/>
      <c r="F1158" s="267"/>
      <c r="G1158" s="267"/>
      <c r="H1158" s="267"/>
      <c r="I1158" s="287">
        <v>495</v>
      </c>
      <c r="J1158" s="288">
        <f t="shared" si="245"/>
        <v>95.01</v>
      </c>
      <c r="K1158" s="276" t="s">
        <v>1087</v>
      </c>
      <c r="L1158" s="33">
        <v>1</v>
      </c>
      <c r="M1158" s="157" t="s">
        <v>3615</v>
      </c>
      <c r="N1158" s="157"/>
      <c r="O1158" s="157" t="s">
        <v>640</v>
      </c>
      <c r="P1158" s="164" t="s">
        <v>1088</v>
      </c>
    </row>
    <row r="1159" s="92" customFormat="1" ht="20.1" customHeight="1" spans="1:16">
      <c r="A1159" s="157" t="s">
        <v>3616</v>
      </c>
      <c r="B1159" s="36" t="s">
        <v>1090</v>
      </c>
      <c r="C1159" s="267"/>
      <c r="D1159" s="268">
        <f t="shared" si="248"/>
        <v>25</v>
      </c>
      <c r="E1159" s="267"/>
      <c r="F1159" s="267"/>
      <c r="G1159" s="267"/>
      <c r="H1159" s="267"/>
      <c r="I1159" s="287">
        <v>25</v>
      </c>
      <c r="J1159" s="288">
        <f t="shared" si="245"/>
        <v>100</v>
      </c>
      <c r="K1159" s="276" t="s">
        <v>1087</v>
      </c>
      <c r="L1159" s="33">
        <v>1</v>
      </c>
      <c r="M1159" s="157" t="s">
        <v>3616</v>
      </c>
      <c r="N1159" s="157"/>
      <c r="O1159" s="157" t="s">
        <v>640</v>
      </c>
      <c r="P1159" s="164" t="s">
        <v>1091</v>
      </c>
    </row>
    <row r="1160" s="92" customFormat="1" ht="20.1" customHeight="1" spans="1:16">
      <c r="A1160" s="157" t="s">
        <v>3617</v>
      </c>
      <c r="B1160" s="36" t="s">
        <v>1093</v>
      </c>
      <c r="C1160" s="267"/>
      <c r="D1160" s="268">
        <f t="shared" si="248"/>
        <v>0</v>
      </c>
      <c r="E1160" s="267"/>
      <c r="F1160" s="267"/>
      <c r="G1160" s="267"/>
      <c r="H1160" s="267"/>
      <c r="I1160" s="287"/>
      <c r="J1160" s="288">
        <f t="shared" si="245"/>
        <v>0</v>
      </c>
      <c r="K1160" s="276" t="s">
        <v>1087</v>
      </c>
      <c r="L1160" s="33">
        <v>1</v>
      </c>
      <c r="M1160" s="157" t="s">
        <v>3617</v>
      </c>
      <c r="N1160" s="157"/>
      <c r="O1160" s="157" t="s">
        <v>640</v>
      </c>
      <c r="P1160" s="164" t="s">
        <v>1094</v>
      </c>
    </row>
    <row r="1161" s="92" customFormat="1" ht="20.1" customHeight="1" spans="1:16">
      <c r="A1161" s="157" t="s">
        <v>3618</v>
      </c>
      <c r="B1161" s="36" t="s">
        <v>3619</v>
      </c>
      <c r="C1161" s="267"/>
      <c r="D1161" s="268">
        <f t="shared" si="248"/>
        <v>0</v>
      </c>
      <c r="E1161" s="267"/>
      <c r="F1161" s="267"/>
      <c r="G1161" s="267"/>
      <c r="H1161" s="267"/>
      <c r="I1161" s="287"/>
      <c r="J1161" s="288">
        <f t="shared" si="245"/>
        <v>0</v>
      </c>
      <c r="K1161" s="276" t="s">
        <v>1087</v>
      </c>
      <c r="L1161" s="33">
        <v>1</v>
      </c>
      <c r="M1161" s="157" t="s">
        <v>3618</v>
      </c>
      <c r="N1161" s="157"/>
      <c r="O1161" s="157" t="s">
        <v>640</v>
      </c>
      <c r="P1161" s="164" t="s">
        <v>3620</v>
      </c>
    </row>
    <row r="1162" s="92" customFormat="1" ht="20.1" customHeight="1" spans="1:16">
      <c r="A1162" s="157" t="s">
        <v>3621</v>
      </c>
      <c r="B1162" s="36" t="s">
        <v>3622</v>
      </c>
      <c r="C1162" s="267">
        <v>402</v>
      </c>
      <c r="D1162" s="268">
        <f t="shared" si="248"/>
        <v>67</v>
      </c>
      <c r="E1162" s="267"/>
      <c r="F1162" s="267">
        <v>2</v>
      </c>
      <c r="G1162" s="267">
        <v>65</v>
      </c>
      <c r="H1162" s="267"/>
      <c r="I1162" s="287"/>
      <c r="J1162" s="288">
        <f t="shared" si="245"/>
        <v>16.67</v>
      </c>
      <c r="K1162" s="276" t="s">
        <v>1087</v>
      </c>
      <c r="L1162" s="33">
        <v>1</v>
      </c>
      <c r="M1162" s="157" t="s">
        <v>3621</v>
      </c>
      <c r="N1162" s="157"/>
      <c r="O1162" s="157" t="s">
        <v>640</v>
      </c>
      <c r="P1162" s="163" t="s">
        <v>3623</v>
      </c>
    </row>
    <row r="1163" s="92" customFormat="1" ht="20.1" customHeight="1" spans="1:16">
      <c r="A1163" s="157" t="s">
        <v>3624</v>
      </c>
      <c r="B1163" s="36" t="s">
        <v>3625</v>
      </c>
      <c r="C1163" s="267"/>
      <c r="D1163" s="268">
        <f t="shared" si="248"/>
        <v>0</v>
      </c>
      <c r="E1163" s="267"/>
      <c r="F1163" s="267"/>
      <c r="G1163" s="267"/>
      <c r="H1163" s="267"/>
      <c r="I1163" s="287"/>
      <c r="J1163" s="288">
        <f t="shared" si="245"/>
        <v>0</v>
      </c>
      <c r="K1163" s="276" t="s">
        <v>1087</v>
      </c>
      <c r="L1163" s="33">
        <v>1</v>
      </c>
      <c r="M1163" s="157" t="s">
        <v>3624</v>
      </c>
      <c r="N1163" s="157"/>
      <c r="O1163" s="157" t="s">
        <v>640</v>
      </c>
      <c r="P1163" s="164" t="s">
        <v>3626</v>
      </c>
    </row>
    <row r="1164" s="92" customFormat="1" ht="20.1" customHeight="1" spans="1:16">
      <c r="A1164" s="157" t="s">
        <v>3627</v>
      </c>
      <c r="B1164" s="36" t="s">
        <v>3628</v>
      </c>
      <c r="C1164" s="267">
        <v>17</v>
      </c>
      <c r="D1164" s="268">
        <f t="shared" si="248"/>
        <v>0</v>
      </c>
      <c r="E1164" s="267"/>
      <c r="F1164" s="267"/>
      <c r="G1164" s="267"/>
      <c r="H1164" s="267"/>
      <c r="I1164" s="287"/>
      <c r="J1164" s="288">
        <f t="shared" si="245"/>
        <v>-100</v>
      </c>
      <c r="K1164" s="276" t="s">
        <v>1087</v>
      </c>
      <c r="L1164" s="33">
        <v>1</v>
      </c>
      <c r="M1164" s="157" t="s">
        <v>3627</v>
      </c>
      <c r="N1164" s="157"/>
      <c r="O1164" s="157" t="s">
        <v>640</v>
      </c>
      <c r="P1164" s="164" t="s">
        <v>3629</v>
      </c>
    </row>
    <row r="1165" s="92" customFormat="1" ht="20.1" customHeight="1" spans="1:16">
      <c r="A1165" s="157" t="s">
        <v>3630</v>
      </c>
      <c r="B1165" s="36" t="s">
        <v>3631</v>
      </c>
      <c r="C1165" s="267"/>
      <c r="D1165" s="268">
        <f t="shared" si="248"/>
        <v>3</v>
      </c>
      <c r="E1165" s="267"/>
      <c r="F1165" s="267">
        <v>3</v>
      </c>
      <c r="G1165" s="267"/>
      <c r="H1165" s="267"/>
      <c r="I1165" s="287"/>
      <c r="J1165" s="288">
        <f t="shared" si="245"/>
        <v>100</v>
      </c>
      <c r="K1165" s="276" t="s">
        <v>1087</v>
      </c>
      <c r="L1165" s="33">
        <v>1</v>
      </c>
      <c r="M1165" s="157" t="s">
        <v>3630</v>
      </c>
      <c r="N1165" s="157"/>
      <c r="O1165" s="157" t="s">
        <v>640</v>
      </c>
      <c r="P1165" s="164" t="s">
        <v>3632</v>
      </c>
    </row>
    <row r="1166" s="92" customFormat="1" ht="20.1" customHeight="1" spans="1:16">
      <c r="A1166" s="157" t="s">
        <v>3633</v>
      </c>
      <c r="B1166" s="36" t="s">
        <v>3634</v>
      </c>
      <c r="C1166" s="267">
        <v>74</v>
      </c>
      <c r="D1166" s="268">
        <f t="shared" si="248"/>
        <v>88</v>
      </c>
      <c r="E1166" s="267"/>
      <c r="F1166" s="267"/>
      <c r="G1166" s="267"/>
      <c r="H1166" s="267"/>
      <c r="I1166" s="287">
        <v>88</v>
      </c>
      <c r="J1166" s="288">
        <f t="shared" si="245"/>
        <v>118.92</v>
      </c>
      <c r="K1166" s="276" t="s">
        <v>1087</v>
      </c>
      <c r="L1166" s="33">
        <v>1</v>
      </c>
      <c r="M1166" s="157" t="s">
        <v>3633</v>
      </c>
      <c r="N1166" s="157"/>
      <c r="O1166" s="157" t="s">
        <v>640</v>
      </c>
      <c r="P1166" s="163" t="s">
        <v>3635</v>
      </c>
    </row>
    <row r="1167" s="92" customFormat="1" ht="20.1" customHeight="1" spans="1:16">
      <c r="A1167" s="157" t="s">
        <v>3636</v>
      </c>
      <c r="B1167" s="36" t="s">
        <v>3637</v>
      </c>
      <c r="C1167" s="267"/>
      <c r="D1167" s="268">
        <f t="shared" si="248"/>
        <v>0</v>
      </c>
      <c r="E1167" s="267"/>
      <c r="F1167" s="267"/>
      <c r="G1167" s="267"/>
      <c r="H1167" s="267"/>
      <c r="I1167" s="287"/>
      <c r="J1167" s="288">
        <f t="shared" si="245"/>
        <v>0</v>
      </c>
      <c r="K1167" s="276" t="s">
        <v>1087</v>
      </c>
      <c r="L1167" s="33">
        <v>1</v>
      </c>
      <c r="M1167" s="157" t="s">
        <v>3636</v>
      </c>
      <c r="N1167" s="157"/>
      <c r="O1167" s="157" t="s">
        <v>640</v>
      </c>
      <c r="P1167" s="163" t="s">
        <v>3638</v>
      </c>
    </row>
    <row r="1168" s="92" customFormat="1" ht="20.1" customHeight="1" spans="1:16">
      <c r="A1168" s="157" t="s">
        <v>3639</v>
      </c>
      <c r="B1168" s="36" t="s">
        <v>3640</v>
      </c>
      <c r="C1168" s="267"/>
      <c r="D1168" s="268">
        <f t="shared" si="248"/>
        <v>47</v>
      </c>
      <c r="E1168" s="267"/>
      <c r="F1168" s="267"/>
      <c r="G1168" s="267"/>
      <c r="H1168" s="267"/>
      <c r="I1168" s="287">
        <v>47</v>
      </c>
      <c r="J1168" s="288">
        <f t="shared" si="245"/>
        <v>100</v>
      </c>
      <c r="K1168" s="276" t="s">
        <v>1087</v>
      </c>
      <c r="L1168" s="33">
        <v>1</v>
      </c>
      <c r="M1168" s="157" t="s">
        <v>3639</v>
      </c>
      <c r="N1168" s="157"/>
      <c r="O1168" s="157" t="s">
        <v>640</v>
      </c>
      <c r="P1168" s="163" t="s">
        <v>3641</v>
      </c>
    </row>
    <row r="1169" s="92" customFormat="1" ht="20.1" customHeight="1" spans="1:16">
      <c r="A1169" s="157" t="s">
        <v>3642</v>
      </c>
      <c r="B1169" s="36" t="s">
        <v>3643</v>
      </c>
      <c r="C1169" s="267"/>
      <c r="D1169" s="268">
        <f t="shared" si="248"/>
        <v>0</v>
      </c>
      <c r="E1169" s="267"/>
      <c r="F1169" s="267"/>
      <c r="G1169" s="267"/>
      <c r="H1169" s="267"/>
      <c r="I1169" s="287"/>
      <c r="J1169" s="288">
        <f t="shared" si="245"/>
        <v>0</v>
      </c>
      <c r="K1169" s="276" t="s">
        <v>1087</v>
      </c>
      <c r="L1169" s="33">
        <v>1</v>
      </c>
      <c r="M1169" s="157" t="s">
        <v>3642</v>
      </c>
      <c r="N1169" s="157"/>
      <c r="O1169" s="157" t="s">
        <v>640</v>
      </c>
      <c r="P1169" s="163" t="s">
        <v>3644</v>
      </c>
    </row>
    <row r="1170" s="92" customFormat="1" ht="20.1" customHeight="1" spans="1:16">
      <c r="A1170" s="157" t="s">
        <v>3645</v>
      </c>
      <c r="B1170" s="36" t="s">
        <v>3646</v>
      </c>
      <c r="C1170" s="267"/>
      <c r="D1170" s="268">
        <f t="shared" si="248"/>
        <v>0</v>
      </c>
      <c r="E1170" s="267"/>
      <c r="F1170" s="267"/>
      <c r="G1170" s="267"/>
      <c r="H1170" s="267"/>
      <c r="I1170" s="287"/>
      <c r="J1170" s="288">
        <f t="shared" si="245"/>
        <v>0</v>
      </c>
      <c r="K1170" s="276" t="s">
        <v>1087</v>
      </c>
      <c r="L1170" s="33">
        <v>1</v>
      </c>
      <c r="M1170" s="157" t="s">
        <v>3645</v>
      </c>
      <c r="N1170" s="157"/>
      <c r="O1170" s="157" t="s">
        <v>640</v>
      </c>
      <c r="P1170" s="163" t="s">
        <v>3647</v>
      </c>
    </row>
    <row r="1171" s="92" customFormat="1" ht="20.1" customHeight="1" spans="1:16">
      <c r="A1171" s="157" t="s">
        <v>3648</v>
      </c>
      <c r="B1171" s="36" t="s">
        <v>3649</v>
      </c>
      <c r="C1171" s="267"/>
      <c r="D1171" s="268">
        <f t="shared" si="248"/>
        <v>0</v>
      </c>
      <c r="E1171" s="267"/>
      <c r="F1171" s="267"/>
      <c r="G1171" s="267"/>
      <c r="H1171" s="267"/>
      <c r="I1171" s="287"/>
      <c r="J1171" s="288">
        <f t="shared" si="245"/>
        <v>0</v>
      </c>
      <c r="K1171" s="276" t="s">
        <v>1087</v>
      </c>
      <c r="L1171" s="33">
        <v>1</v>
      </c>
      <c r="M1171" s="157" t="s">
        <v>3648</v>
      </c>
      <c r="N1171" s="157"/>
      <c r="O1171" s="157" t="s">
        <v>640</v>
      </c>
      <c r="P1171" s="163" t="s">
        <v>3650</v>
      </c>
    </row>
    <row r="1172" s="92" customFormat="1" ht="20.1" customHeight="1" spans="1:16">
      <c r="A1172" s="157" t="s">
        <v>3651</v>
      </c>
      <c r="B1172" s="163" t="s">
        <v>3652</v>
      </c>
      <c r="C1172" s="267"/>
      <c r="D1172" s="268">
        <f t="shared" si="248"/>
        <v>0</v>
      </c>
      <c r="E1172" s="267"/>
      <c r="F1172" s="267"/>
      <c r="G1172" s="267"/>
      <c r="H1172" s="267"/>
      <c r="I1172" s="287"/>
      <c r="J1172" s="288"/>
      <c r="K1172" s="276" t="s">
        <v>1087</v>
      </c>
      <c r="L1172" s="33">
        <v>1</v>
      </c>
      <c r="M1172" s="157" t="s">
        <v>3651</v>
      </c>
      <c r="N1172" s="157"/>
      <c r="O1172" s="157" t="s">
        <v>640</v>
      </c>
      <c r="P1172" s="163" t="s">
        <v>3653</v>
      </c>
    </row>
    <row r="1173" s="92" customFormat="1" ht="20.1" customHeight="1" spans="1:16">
      <c r="A1173" s="157" t="s">
        <v>3654</v>
      </c>
      <c r="B1173" s="163" t="s">
        <v>3655</v>
      </c>
      <c r="C1173" s="267"/>
      <c r="D1173" s="268">
        <f t="shared" si="248"/>
        <v>0</v>
      </c>
      <c r="E1173" s="267"/>
      <c r="F1173" s="267"/>
      <c r="G1173" s="267"/>
      <c r="H1173" s="267"/>
      <c r="I1173" s="287"/>
      <c r="J1173" s="288"/>
      <c r="K1173" s="276" t="s">
        <v>1087</v>
      </c>
      <c r="L1173" s="33">
        <v>1</v>
      </c>
      <c r="M1173" s="157" t="s">
        <v>3654</v>
      </c>
      <c r="N1173" s="157"/>
      <c r="O1173" s="157" t="s">
        <v>640</v>
      </c>
      <c r="P1173" s="163" t="s">
        <v>3656</v>
      </c>
    </row>
    <row r="1174" s="92" customFormat="1" ht="20.1" customHeight="1" spans="1:16">
      <c r="A1174" s="157" t="s">
        <v>3657</v>
      </c>
      <c r="B1174" s="163" t="s">
        <v>3658</v>
      </c>
      <c r="C1174" s="267"/>
      <c r="D1174" s="268">
        <f t="shared" si="248"/>
        <v>0</v>
      </c>
      <c r="E1174" s="267"/>
      <c r="F1174" s="267"/>
      <c r="G1174" s="267"/>
      <c r="H1174" s="267"/>
      <c r="I1174" s="287"/>
      <c r="J1174" s="288"/>
      <c r="K1174" s="276" t="s">
        <v>1087</v>
      </c>
      <c r="L1174" s="33">
        <v>1</v>
      </c>
      <c r="M1174" s="157" t="s">
        <v>3657</v>
      </c>
      <c r="N1174" s="157"/>
      <c r="O1174" s="157" t="s">
        <v>640</v>
      </c>
      <c r="P1174" s="163" t="s">
        <v>3659</v>
      </c>
    </row>
    <row r="1175" s="92" customFormat="1" ht="20.1" customHeight="1" spans="1:16">
      <c r="A1175" s="157" t="s">
        <v>3660</v>
      </c>
      <c r="B1175" s="163" t="s">
        <v>3661</v>
      </c>
      <c r="C1175" s="267"/>
      <c r="D1175" s="268">
        <f t="shared" si="248"/>
        <v>0</v>
      </c>
      <c r="E1175" s="267"/>
      <c r="F1175" s="267"/>
      <c r="G1175" s="267"/>
      <c r="H1175" s="267"/>
      <c r="I1175" s="287"/>
      <c r="J1175" s="288"/>
      <c r="K1175" s="276" t="s">
        <v>1087</v>
      </c>
      <c r="L1175" s="33">
        <v>1</v>
      </c>
      <c r="M1175" s="157" t="s">
        <v>3660</v>
      </c>
      <c r="N1175" s="157"/>
      <c r="O1175" s="157" t="s">
        <v>640</v>
      </c>
      <c r="P1175" s="163" t="s">
        <v>3662</v>
      </c>
    </row>
    <row r="1176" s="92" customFormat="1" ht="20.1" customHeight="1" spans="1:16">
      <c r="A1176" s="157" t="s">
        <v>3663</v>
      </c>
      <c r="B1176" s="163" t="s">
        <v>3664</v>
      </c>
      <c r="C1176" s="267"/>
      <c r="D1176" s="268">
        <f t="shared" si="248"/>
        <v>0</v>
      </c>
      <c r="E1176" s="267"/>
      <c r="F1176" s="267"/>
      <c r="G1176" s="267"/>
      <c r="H1176" s="267"/>
      <c r="I1176" s="287"/>
      <c r="J1176" s="288"/>
      <c r="K1176" s="276" t="s">
        <v>1087</v>
      </c>
      <c r="L1176" s="33">
        <v>1</v>
      </c>
      <c r="M1176" s="157" t="s">
        <v>3663</v>
      </c>
      <c r="N1176" s="157"/>
      <c r="O1176" s="157" t="s">
        <v>640</v>
      </c>
      <c r="P1176" s="163" t="s">
        <v>3665</v>
      </c>
    </row>
    <row r="1177" s="92" customFormat="1" ht="20.1" customHeight="1" spans="1:16">
      <c r="A1177" s="157" t="s">
        <v>3666</v>
      </c>
      <c r="B1177" s="163" t="s">
        <v>3667</v>
      </c>
      <c r="C1177" s="267"/>
      <c r="D1177" s="268">
        <f t="shared" si="248"/>
        <v>0</v>
      </c>
      <c r="E1177" s="267"/>
      <c r="F1177" s="267"/>
      <c r="G1177" s="267"/>
      <c r="H1177" s="267"/>
      <c r="I1177" s="287"/>
      <c r="J1177" s="288"/>
      <c r="K1177" s="276" t="s">
        <v>1087</v>
      </c>
      <c r="L1177" s="33">
        <v>1</v>
      </c>
      <c r="M1177" s="157" t="s">
        <v>3666</v>
      </c>
      <c r="N1177" s="157"/>
      <c r="O1177" s="157" t="s">
        <v>640</v>
      </c>
      <c r="P1177" s="163" t="s">
        <v>3668</v>
      </c>
    </row>
    <row r="1178" s="92" customFormat="1" ht="20.1" customHeight="1" spans="1:16">
      <c r="A1178" s="157" t="s">
        <v>3669</v>
      </c>
      <c r="B1178" s="163" t="s">
        <v>3670</v>
      </c>
      <c r="C1178" s="267"/>
      <c r="D1178" s="268">
        <f t="shared" si="248"/>
        <v>0</v>
      </c>
      <c r="E1178" s="267"/>
      <c r="F1178" s="267"/>
      <c r="G1178" s="267"/>
      <c r="H1178" s="267"/>
      <c r="I1178" s="287"/>
      <c r="J1178" s="288"/>
      <c r="K1178" s="276" t="s">
        <v>1087</v>
      </c>
      <c r="L1178" s="33">
        <v>1</v>
      </c>
      <c r="M1178" s="157" t="s">
        <v>3669</v>
      </c>
      <c r="N1178" s="157"/>
      <c r="O1178" s="157" t="s">
        <v>640</v>
      </c>
      <c r="P1178" s="163" t="s">
        <v>3671</v>
      </c>
    </row>
    <row r="1179" s="92" customFormat="1" ht="20.1" customHeight="1" spans="1:16">
      <c r="A1179" s="157" t="s">
        <v>3672</v>
      </c>
      <c r="B1179" s="163" t="s">
        <v>3673</v>
      </c>
      <c r="C1179" s="267"/>
      <c r="D1179" s="268">
        <f t="shared" si="248"/>
        <v>0</v>
      </c>
      <c r="E1179" s="267"/>
      <c r="F1179" s="267"/>
      <c r="G1179" s="267"/>
      <c r="H1179" s="267"/>
      <c r="I1179" s="287"/>
      <c r="J1179" s="288"/>
      <c r="K1179" s="276" t="s">
        <v>1087</v>
      </c>
      <c r="L1179" s="33">
        <v>1</v>
      </c>
      <c r="M1179" s="157" t="s">
        <v>3672</v>
      </c>
      <c r="N1179" s="157"/>
      <c r="O1179" s="157" t="s">
        <v>640</v>
      </c>
      <c r="P1179" s="163" t="s">
        <v>3674</v>
      </c>
    </row>
    <row r="1180" s="92" customFormat="1" ht="20.1" customHeight="1" spans="1:16">
      <c r="A1180" s="157" t="s">
        <v>3675</v>
      </c>
      <c r="B1180" s="163" t="s">
        <v>3676</v>
      </c>
      <c r="C1180" s="267"/>
      <c r="D1180" s="268">
        <f t="shared" si="248"/>
        <v>0</v>
      </c>
      <c r="E1180" s="267"/>
      <c r="F1180" s="267"/>
      <c r="G1180" s="267"/>
      <c r="H1180" s="267"/>
      <c r="I1180" s="287"/>
      <c r="J1180" s="288"/>
      <c r="K1180" s="276" t="s">
        <v>1087</v>
      </c>
      <c r="L1180" s="33">
        <v>1</v>
      </c>
      <c r="M1180" s="157" t="s">
        <v>3675</v>
      </c>
      <c r="N1180" s="157"/>
      <c r="O1180" s="157" t="s">
        <v>640</v>
      </c>
      <c r="P1180" s="163" t="s">
        <v>3677</v>
      </c>
    </row>
    <row r="1181" s="92" customFormat="1" ht="20.1" customHeight="1" spans="1:16">
      <c r="A1181" s="157" t="s">
        <v>3678</v>
      </c>
      <c r="B1181" s="163" t="s">
        <v>3679</v>
      </c>
      <c r="C1181" s="267"/>
      <c r="D1181" s="268">
        <f t="shared" si="248"/>
        <v>0</v>
      </c>
      <c r="E1181" s="267"/>
      <c r="F1181" s="267"/>
      <c r="G1181" s="267"/>
      <c r="H1181" s="267"/>
      <c r="I1181" s="287"/>
      <c r="J1181" s="288"/>
      <c r="K1181" s="276" t="s">
        <v>1087</v>
      </c>
      <c r="L1181" s="33">
        <v>1</v>
      </c>
      <c r="M1181" s="157" t="s">
        <v>3678</v>
      </c>
      <c r="N1181" s="157"/>
      <c r="O1181" s="157" t="s">
        <v>640</v>
      </c>
      <c r="P1181" s="163" t="s">
        <v>3680</v>
      </c>
    </row>
    <row r="1182" s="92" customFormat="1" ht="20.1" customHeight="1" spans="1:16">
      <c r="A1182" s="157" t="s">
        <v>3681</v>
      </c>
      <c r="B1182" s="36" t="s">
        <v>1114</v>
      </c>
      <c r="C1182" s="267"/>
      <c r="D1182" s="268">
        <f t="shared" si="248"/>
        <v>10</v>
      </c>
      <c r="E1182" s="267"/>
      <c r="F1182" s="267"/>
      <c r="G1182" s="267"/>
      <c r="H1182" s="267"/>
      <c r="I1182" s="287">
        <v>10</v>
      </c>
      <c r="J1182" s="288">
        <f t="shared" ref="J1182:J1199" si="249">ROUND(IF(C1182=0,IF(D1182=0,0,1),IF(D1182=0,-1,D1182/C1182)),4)*100</f>
        <v>100</v>
      </c>
      <c r="K1182" s="276" t="s">
        <v>1087</v>
      </c>
      <c r="L1182" s="33">
        <v>1</v>
      </c>
      <c r="M1182" s="157" t="s">
        <v>3681</v>
      </c>
      <c r="N1182" s="157"/>
      <c r="O1182" s="157" t="s">
        <v>640</v>
      </c>
      <c r="P1182" s="164" t="s">
        <v>1115</v>
      </c>
    </row>
    <row r="1183" s="92" customFormat="1" ht="20.1" customHeight="1" spans="1:16">
      <c r="A1183" s="157" t="s">
        <v>3682</v>
      </c>
      <c r="B1183" s="36" t="s">
        <v>3683</v>
      </c>
      <c r="C1183" s="267">
        <v>118</v>
      </c>
      <c r="D1183" s="268">
        <f t="shared" si="248"/>
        <v>153</v>
      </c>
      <c r="E1183" s="267"/>
      <c r="F1183" s="267"/>
      <c r="G1183" s="267"/>
      <c r="H1183" s="267"/>
      <c r="I1183" s="287">
        <v>153</v>
      </c>
      <c r="J1183" s="288">
        <f t="shared" si="249"/>
        <v>129.66</v>
      </c>
      <c r="K1183" s="276" t="s">
        <v>1087</v>
      </c>
      <c r="L1183" s="33">
        <v>1</v>
      </c>
      <c r="M1183" s="157" t="s">
        <v>3682</v>
      </c>
      <c r="N1183" s="157"/>
      <c r="O1183" s="157" t="s">
        <v>640</v>
      </c>
      <c r="P1183" s="164" t="s">
        <v>3684</v>
      </c>
    </row>
    <row r="1184" s="93" customFormat="1" ht="20.1" customHeight="1" spans="1:16">
      <c r="A1184" s="263" t="s">
        <v>643</v>
      </c>
      <c r="B1184" s="297" t="s">
        <v>3685</v>
      </c>
      <c r="C1184" s="265">
        <f t="shared" ref="C1184:I1184" si="250">SUM(C1185:C1198)</f>
        <v>53</v>
      </c>
      <c r="D1184" s="265">
        <f t="shared" si="248"/>
        <v>86</v>
      </c>
      <c r="E1184" s="265">
        <f t="shared" si="250"/>
        <v>0</v>
      </c>
      <c r="F1184" s="265">
        <f t="shared" si="250"/>
        <v>0</v>
      </c>
      <c r="G1184" s="265">
        <f t="shared" si="250"/>
        <v>0</v>
      </c>
      <c r="H1184" s="265">
        <f t="shared" si="250"/>
        <v>0</v>
      </c>
      <c r="I1184" s="265">
        <f t="shared" si="250"/>
        <v>86</v>
      </c>
      <c r="J1184" s="298">
        <f t="shared" si="249"/>
        <v>162.26</v>
      </c>
      <c r="K1184" s="284" t="s">
        <v>1082</v>
      </c>
      <c r="L1184" s="285"/>
      <c r="M1184" s="263" t="s">
        <v>643</v>
      </c>
      <c r="N1184" s="263" t="s">
        <v>639</v>
      </c>
      <c r="O1184" s="263" t="s">
        <v>643</v>
      </c>
      <c r="P1184" s="286" t="s">
        <v>3686</v>
      </c>
    </row>
    <row r="1185" s="92" customFormat="1" ht="20.1" customHeight="1" spans="1:16">
      <c r="A1185" s="157" t="s">
        <v>3687</v>
      </c>
      <c r="B1185" s="36" t="s">
        <v>1086</v>
      </c>
      <c r="C1185" s="267">
        <v>5</v>
      </c>
      <c r="D1185" s="268">
        <f t="shared" si="248"/>
        <v>7</v>
      </c>
      <c r="E1185" s="267"/>
      <c r="F1185" s="267"/>
      <c r="G1185" s="267"/>
      <c r="H1185" s="267"/>
      <c r="I1185" s="287">
        <v>7</v>
      </c>
      <c r="J1185" s="288">
        <f t="shared" si="249"/>
        <v>140</v>
      </c>
      <c r="K1185" s="276" t="s">
        <v>1087</v>
      </c>
      <c r="L1185" s="33">
        <v>1</v>
      </c>
      <c r="M1185" s="157" t="s">
        <v>3687</v>
      </c>
      <c r="N1185" s="157"/>
      <c r="O1185" s="157" t="s">
        <v>643</v>
      </c>
      <c r="P1185" s="164" t="s">
        <v>1088</v>
      </c>
    </row>
    <row r="1186" s="92" customFormat="1" ht="20.1" customHeight="1" spans="1:16">
      <c r="A1186" s="157" t="s">
        <v>3688</v>
      </c>
      <c r="B1186" s="36" t="s">
        <v>1090</v>
      </c>
      <c r="C1186" s="267"/>
      <c r="D1186" s="268">
        <f t="shared" si="248"/>
        <v>0</v>
      </c>
      <c r="E1186" s="267"/>
      <c r="F1186" s="267"/>
      <c r="G1186" s="267"/>
      <c r="H1186" s="267"/>
      <c r="I1186" s="287"/>
      <c r="J1186" s="288">
        <f t="shared" si="249"/>
        <v>0</v>
      </c>
      <c r="K1186" s="276" t="s">
        <v>1087</v>
      </c>
      <c r="L1186" s="33">
        <v>1</v>
      </c>
      <c r="M1186" s="157" t="s">
        <v>3688</v>
      </c>
      <c r="N1186" s="157"/>
      <c r="O1186" s="157" t="s">
        <v>643</v>
      </c>
      <c r="P1186" s="164" t="s">
        <v>1091</v>
      </c>
    </row>
    <row r="1187" s="92" customFormat="1" ht="20.1" customHeight="1" spans="1:16">
      <c r="A1187" s="157" t="s">
        <v>3689</v>
      </c>
      <c r="B1187" s="36" t="s">
        <v>1093</v>
      </c>
      <c r="C1187" s="267"/>
      <c r="D1187" s="268">
        <f t="shared" si="248"/>
        <v>0</v>
      </c>
      <c r="E1187" s="267"/>
      <c r="F1187" s="267"/>
      <c r="G1187" s="267"/>
      <c r="H1187" s="267"/>
      <c r="I1187" s="287"/>
      <c r="J1187" s="288">
        <f t="shared" si="249"/>
        <v>0</v>
      </c>
      <c r="K1187" s="276" t="s">
        <v>1087</v>
      </c>
      <c r="L1187" s="33">
        <v>1</v>
      </c>
      <c r="M1187" s="157" t="s">
        <v>3689</v>
      </c>
      <c r="N1187" s="157"/>
      <c r="O1187" s="157" t="s">
        <v>643</v>
      </c>
      <c r="P1187" s="164" t="s">
        <v>1094</v>
      </c>
    </row>
    <row r="1188" s="92" customFormat="1" ht="20.1" customHeight="1" spans="1:16">
      <c r="A1188" s="157" t="s">
        <v>3690</v>
      </c>
      <c r="B1188" s="36" t="s">
        <v>3691</v>
      </c>
      <c r="C1188" s="267">
        <v>28</v>
      </c>
      <c r="D1188" s="268">
        <f t="shared" si="248"/>
        <v>45</v>
      </c>
      <c r="E1188" s="267"/>
      <c r="F1188" s="267"/>
      <c r="G1188" s="267"/>
      <c r="H1188" s="267"/>
      <c r="I1188" s="287">
        <v>45</v>
      </c>
      <c r="J1188" s="288">
        <f t="shared" si="249"/>
        <v>160.71</v>
      </c>
      <c r="K1188" s="276" t="s">
        <v>1087</v>
      </c>
      <c r="L1188" s="33">
        <v>1</v>
      </c>
      <c r="M1188" s="157" t="s">
        <v>3690</v>
      </c>
      <c r="N1188" s="157"/>
      <c r="O1188" s="157" t="s">
        <v>643</v>
      </c>
      <c r="P1188" s="163" t="s">
        <v>3692</v>
      </c>
    </row>
    <row r="1189" s="92" customFormat="1" ht="20.1" customHeight="1" spans="1:16">
      <c r="A1189" s="157" t="s">
        <v>3693</v>
      </c>
      <c r="B1189" s="36" t="s">
        <v>3694</v>
      </c>
      <c r="C1189" s="267"/>
      <c r="D1189" s="268">
        <f t="shared" si="248"/>
        <v>0</v>
      </c>
      <c r="E1189" s="267"/>
      <c r="F1189" s="267"/>
      <c r="G1189" s="267"/>
      <c r="H1189" s="267"/>
      <c r="I1189" s="287"/>
      <c r="J1189" s="288">
        <f t="shared" si="249"/>
        <v>0</v>
      </c>
      <c r="K1189" s="276" t="s">
        <v>1087</v>
      </c>
      <c r="L1189" s="33">
        <v>1</v>
      </c>
      <c r="M1189" s="157" t="s">
        <v>3693</v>
      </c>
      <c r="N1189" s="157"/>
      <c r="O1189" s="157" t="s">
        <v>643</v>
      </c>
      <c r="P1189" s="163" t="s">
        <v>3695</v>
      </c>
    </row>
    <row r="1190" s="92" customFormat="1" ht="20.1" customHeight="1" spans="1:16">
      <c r="A1190" s="157" t="s">
        <v>3696</v>
      </c>
      <c r="B1190" s="36" t="s">
        <v>3697</v>
      </c>
      <c r="C1190" s="267"/>
      <c r="D1190" s="268">
        <f t="shared" si="248"/>
        <v>0</v>
      </c>
      <c r="E1190" s="267"/>
      <c r="F1190" s="267"/>
      <c r="G1190" s="267"/>
      <c r="H1190" s="267"/>
      <c r="I1190" s="287"/>
      <c r="J1190" s="288">
        <f t="shared" si="249"/>
        <v>0</v>
      </c>
      <c r="K1190" s="276" t="s">
        <v>1087</v>
      </c>
      <c r="L1190" s="33">
        <v>1</v>
      </c>
      <c r="M1190" s="157" t="s">
        <v>3696</v>
      </c>
      <c r="N1190" s="157"/>
      <c r="O1190" s="157" t="s">
        <v>643</v>
      </c>
      <c r="P1190" s="163" t="s">
        <v>3698</v>
      </c>
    </row>
    <row r="1191" s="92" customFormat="1" ht="20.1" customHeight="1" spans="1:16">
      <c r="A1191" s="157" t="s">
        <v>3699</v>
      </c>
      <c r="B1191" s="36" t="s">
        <v>3700</v>
      </c>
      <c r="C1191" s="267"/>
      <c r="D1191" s="268">
        <f t="shared" si="248"/>
        <v>0</v>
      </c>
      <c r="E1191" s="267"/>
      <c r="F1191" s="267"/>
      <c r="G1191" s="267"/>
      <c r="H1191" s="267"/>
      <c r="I1191" s="287"/>
      <c r="J1191" s="288">
        <f t="shared" si="249"/>
        <v>0</v>
      </c>
      <c r="K1191" s="276" t="s">
        <v>1087</v>
      </c>
      <c r="L1191" s="33">
        <v>1</v>
      </c>
      <c r="M1191" s="157" t="s">
        <v>3699</v>
      </c>
      <c r="N1191" s="157"/>
      <c r="O1191" s="157" t="s">
        <v>643</v>
      </c>
      <c r="P1191" s="163" t="s">
        <v>3701</v>
      </c>
    </row>
    <row r="1192" s="92" customFormat="1" ht="20.1" customHeight="1" spans="1:16">
      <c r="A1192" s="157" t="s">
        <v>3702</v>
      </c>
      <c r="B1192" s="36" t="s">
        <v>3703</v>
      </c>
      <c r="C1192" s="267">
        <v>20</v>
      </c>
      <c r="D1192" s="268">
        <f t="shared" si="248"/>
        <v>21</v>
      </c>
      <c r="E1192" s="267"/>
      <c r="F1192" s="267"/>
      <c r="G1192" s="267"/>
      <c r="H1192" s="267"/>
      <c r="I1192" s="287">
        <v>21</v>
      </c>
      <c r="J1192" s="288">
        <f t="shared" si="249"/>
        <v>105</v>
      </c>
      <c r="K1192" s="276" t="s">
        <v>1087</v>
      </c>
      <c r="L1192" s="33">
        <v>1</v>
      </c>
      <c r="M1192" s="157" t="s">
        <v>3702</v>
      </c>
      <c r="N1192" s="157"/>
      <c r="O1192" s="157" t="s">
        <v>643</v>
      </c>
      <c r="P1192" s="163" t="s">
        <v>3704</v>
      </c>
    </row>
    <row r="1193" s="92" customFormat="1" ht="20.1" customHeight="1" spans="1:16">
      <c r="A1193" s="157" t="s">
        <v>3705</v>
      </c>
      <c r="B1193" s="36" t="s">
        <v>3706</v>
      </c>
      <c r="C1193" s="267"/>
      <c r="D1193" s="268">
        <f t="shared" si="248"/>
        <v>13</v>
      </c>
      <c r="E1193" s="267"/>
      <c r="F1193" s="267"/>
      <c r="G1193" s="267"/>
      <c r="H1193" s="267"/>
      <c r="I1193" s="287">
        <v>13</v>
      </c>
      <c r="J1193" s="288">
        <f t="shared" si="249"/>
        <v>100</v>
      </c>
      <c r="K1193" s="276" t="s">
        <v>1087</v>
      </c>
      <c r="L1193" s="33">
        <v>1</v>
      </c>
      <c r="M1193" s="157" t="s">
        <v>3705</v>
      </c>
      <c r="N1193" s="157"/>
      <c r="O1193" s="157" t="s">
        <v>643</v>
      </c>
      <c r="P1193" s="163" t="s">
        <v>3707</v>
      </c>
    </row>
    <row r="1194" s="92" customFormat="1" ht="20.1" customHeight="1" spans="1:16">
      <c r="A1194" s="157" t="s">
        <v>3708</v>
      </c>
      <c r="B1194" s="36" t="s">
        <v>3709</v>
      </c>
      <c r="C1194" s="267"/>
      <c r="D1194" s="268">
        <f t="shared" si="248"/>
        <v>0</v>
      </c>
      <c r="E1194" s="267"/>
      <c r="F1194" s="267"/>
      <c r="G1194" s="267"/>
      <c r="H1194" s="267"/>
      <c r="I1194" s="287"/>
      <c r="J1194" s="288">
        <f t="shared" si="249"/>
        <v>0</v>
      </c>
      <c r="K1194" s="276" t="s">
        <v>1087</v>
      </c>
      <c r="L1194" s="33">
        <v>1</v>
      </c>
      <c r="M1194" s="157" t="s">
        <v>3708</v>
      </c>
      <c r="N1194" s="157"/>
      <c r="O1194" s="157" t="s">
        <v>643</v>
      </c>
      <c r="P1194" s="163" t="s">
        <v>3710</v>
      </c>
    </row>
    <row r="1195" s="92" customFormat="1" ht="20.1" customHeight="1" spans="1:16">
      <c r="A1195" s="157" t="s">
        <v>3711</v>
      </c>
      <c r="B1195" s="36" t="s">
        <v>3712</v>
      </c>
      <c r="C1195" s="267"/>
      <c r="D1195" s="268">
        <f t="shared" si="248"/>
        <v>0</v>
      </c>
      <c r="E1195" s="267"/>
      <c r="F1195" s="267"/>
      <c r="G1195" s="267"/>
      <c r="H1195" s="267"/>
      <c r="I1195" s="287"/>
      <c r="J1195" s="288">
        <f t="shared" si="249"/>
        <v>0</v>
      </c>
      <c r="K1195" s="276" t="s">
        <v>1087</v>
      </c>
      <c r="L1195" s="33">
        <v>1</v>
      </c>
      <c r="M1195" s="157" t="s">
        <v>3711</v>
      </c>
      <c r="N1195" s="157"/>
      <c r="O1195" s="157" t="s">
        <v>643</v>
      </c>
      <c r="P1195" s="163" t="s">
        <v>3713</v>
      </c>
    </row>
    <row r="1196" s="92" customFormat="1" ht="20.1" customHeight="1" spans="1:16">
      <c r="A1196" s="157" t="s">
        <v>3714</v>
      </c>
      <c r="B1196" s="36" t="s">
        <v>3715</v>
      </c>
      <c r="C1196" s="267"/>
      <c r="D1196" s="268">
        <f t="shared" si="248"/>
        <v>0</v>
      </c>
      <c r="E1196" s="267"/>
      <c r="F1196" s="267"/>
      <c r="G1196" s="267"/>
      <c r="H1196" s="267"/>
      <c r="I1196" s="287"/>
      <c r="J1196" s="288">
        <f t="shared" si="249"/>
        <v>0</v>
      </c>
      <c r="K1196" s="276" t="s">
        <v>1087</v>
      </c>
      <c r="L1196" s="33">
        <v>1</v>
      </c>
      <c r="M1196" s="157" t="s">
        <v>3714</v>
      </c>
      <c r="N1196" s="157"/>
      <c r="O1196" s="157" t="s">
        <v>643</v>
      </c>
      <c r="P1196" s="163" t="s">
        <v>3716</v>
      </c>
    </row>
    <row r="1197" s="92" customFormat="1" ht="20.1" customHeight="1" spans="1:16">
      <c r="A1197" s="157" t="s">
        <v>3717</v>
      </c>
      <c r="B1197" s="36" t="s">
        <v>3718</v>
      </c>
      <c r="C1197" s="267"/>
      <c r="D1197" s="268">
        <f t="shared" si="248"/>
        <v>0</v>
      </c>
      <c r="E1197" s="267"/>
      <c r="F1197" s="267"/>
      <c r="G1197" s="267"/>
      <c r="H1197" s="267"/>
      <c r="I1197" s="287"/>
      <c r="J1197" s="288">
        <f t="shared" si="249"/>
        <v>0</v>
      </c>
      <c r="K1197" s="276" t="s">
        <v>1087</v>
      </c>
      <c r="L1197" s="33">
        <v>1</v>
      </c>
      <c r="M1197" s="157" t="s">
        <v>3717</v>
      </c>
      <c r="N1197" s="157"/>
      <c r="O1197" s="157" t="s">
        <v>643</v>
      </c>
      <c r="P1197" s="163" t="s">
        <v>3719</v>
      </c>
    </row>
    <row r="1198" s="92" customFormat="1" ht="20.1" customHeight="1" spans="1:16">
      <c r="A1198" s="157" t="s">
        <v>3720</v>
      </c>
      <c r="B1198" s="36" t="s">
        <v>3721</v>
      </c>
      <c r="C1198" s="267"/>
      <c r="D1198" s="268">
        <f t="shared" si="248"/>
        <v>0</v>
      </c>
      <c r="E1198" s="267"/>
      <c r="F1198" s="267"/>
      <c r="G1198" s="267"/>
      <c r="H1198" s="267"/>
      <c r="I1198" s="287"/>
      <c r="J1198" s="288">
        <f t="shared" si="249"/>
        <v>0</v>
      </c>
      <c r="K1198" s="276" t="s">
        <v>1087</v>
      </c>
      <c r="L1198" s="33">
        <v>1</v>
      </c>
      <c r="M1198" s="157" t="s">
        <v>3720</v>
      </c>
      <c r="N1198" s="157"/>
      <c r="O1198" s="157" t="s">
        <v>643</v>
      </c>
      <c r="P1198" s="163" t="s">
        <v>3722</v>
      </c>
    </row>
    <row r="1199" s="93" customFormat="1" ht="20.1" customHeight="1" spans="1:16">
      <c r="A1199" s="263" t="s">
        <v>644</v>
      </c>
      <c r="B1199" s="297" t="s">
        <v>3723</v>
      </c>
      <c r="C1199" s="265">
        <v>0</v>
      </c>
      <c r="D1199" s="265">
        <f t="shared" si="248"/>
        <v>0</v>
      </c>
      <c r="E1199" s="265"/>
      <c r="F1199" s="265"/>
      <c r="G1199" s="265">
        <f>VLOOKUP(A1199,[1]√表四、2024年公共财政支出变动表!$A$7:$R$214,18,FALSE)</f>
        <v>0</v>
      </c>
      <c r="H1199" s="265"/>
      <c r="I1199" s="265"/>
      <c r="J1199" s="298">
        <f t="shared" si="249"/>
        <v>0</v>
      </c>
      <c r="K1199" s="284" t="s">
        <v>1082</v>
      </c>
      <c r="L1199" s="285">
        <v>1</v>
      </c>
      <c r="M1199" s="263" t="s">
        <v>644</v>
      </c>
      <c r="N1199" s="263" t="s">
        <v>639</v>
      </c>
      <c r="O1199" s="263" t="s">
        <v>644</v>
      </c>
      <c r="P1199" s="286" t="s">
        <v>3724</v>
      </c>
    </row>
    <row r="1200" s="92" customFormat="1" ht="20.1" customHeight="1" spans="1:16">
      <c r="A1200" s="157" t="s">
        <v>3725</v>
      </c>
      <c r="B1200" s="269" t="s">
        <v>400</v>
      </c>
      <c r="C1200" s="267"/>
      <c r="D1200" s="267"/>
      <c r="E1200" s="267"/>
      <c r="F1200" s="267"/>
      <c r="G1200" s="267"/>
      <c r="H1200" s="267"/>
      <c r="I1200" s="267"/>
      <c r="J1200" s="159"/>
      <c r="K1200" s="276" t="s">
        <v>1087</v>
      </c>
      <c r="L1200" s="33">
        <v>1</v>
      </c>
      <c r="M1200" s="157" t="s">
        <v>3725</v>
      </c>
      <c r="N1200" s="157"/>
      <c r="O1200" s="157" t="s">
        <v>644</v>
      </c>
      <c r="P1200" s="163" t="s">
        <v>3724</v>
      </c>
    </row>
    <row r="1201" s="93" customFormat="1" ht="20.1" customHeight="1" spans="1:16">
      <c r="A1201" s="154" t="s">
        <v>645</v>
      </c>
      <c r="B1201" s="261" t="s">
        <v>401</v>
      </c>
      <c r="C1201" s="262">
        <f t="shared" ref="C1201:I1201" si="251">C1202+C1212+C1216</f>
        <v>9689</v>
      </c>
      <c r="D1201" s="262">
        <f t="shared" ref="D1201:D1262" si="252">SUM(E1201:I1201)</f>
        <v>4831</v>
      </c>
      <c r="E1201" s="262">
        <f t="shared" si="251"/>
        <v>492</v>
      </c>
      <c r="F1201" s="262">
        <f t="shared" si="251"/>
        <v>0</v>
      </c>
      <c r="G1201" s="262">
        <f t="shared" si="251"/>
        <v>398</v>
      </c>
      <c r="H1201" s="262">
        <f t="shared" si="251"/>
        <v>0</v>
      </c>
      <c r="I1201" s="262">
        <f t="shared" si="251"/>
        <v>3941</v>
      </c>
      <c r="J1201" s="279">
        <f t="shared" ref="J1201:J1207" si="253">ROUND(IF(C1201=0,IF(D1201=0,0,1),IF(D1201=0,-1,D1201/C1201)),4)*100</f>
        <v>49.86</v>
      </c>
      <c r="K1201" s="280" t="s">
        <v>1081</v>
      </c>
      <c r="L1201" s="281"/>
      <c r="M1201" s="154" t="s">
        <v>645</v>
      </c>
      <c r="N1201" s="154" t="s">
        <v>645</v>
      </c>
      <c r="O1201" s="154" t="s">
        <v>645</v>
      </c>
      <c r="P1201" s="282" t="s">
        <v>3726</v>
      </c>
    </row>
    <row r="1202" s="93" customFormat="1" ht="20.1" customHeight="1" spans="1:16">
      <c r="A1202" s="263" t="s">
        <v>646</v>
      </c>
      <c r="B1202" s="297" t="s">
        <v>3727</v>
      </c>
      <c r="C1202" s="265">
        <f t="shared" ref="C1202:I1202" si="254">SUM(C1203:C1211)</f>
        <v>530</v>
      </c>
      <c r="D1202" s="265">
        <f t="shared" si="252"/>
        <v>920</v>
      </c>
      <c r="E1202" s="265">
        <f t="shared" si="254"/>
        <v>492</v>
      </c>
      <c r="F1202" s="265">
        <f t="shared" si="254"/>
        <v>0</v>
      </c>
      <c r="G1202" s="265">
        <f t="shared" si="254"/>
        <v>398</v>
      </c>
      <c r="H1202" s="265">
        <f t="shared" si="254"/>
        <v>0</v>
      </c>
      <c r="I1202" s="265">
        <f t="shared" si="254"/>
        <v>30</v>
      </c>
      <c r="J1202" s="298">
        <f t="shared" si="253"/>
        <v>173.58</v>
      </c>
      <c r="K1202" s="284" t="s">
        <v>1082</v>
      </c>
      <c r="L1202" s="285"/>
      <c r="M1202" s="263" t="s">
        <v>646</v>
      </c>
      <c r="N1202" s="263" t="s">
        <v>645</v>
      </c>
      <c r="O1202" s="263" t="s">
        <v>646</v>
      </c>
      <c r="P1202" s="286" t="s">
        <v>3728</v>
      </c>
    </row>
    <row r="1203" s="92" customFormat="1" ht="20.1" customHeight="1" spans="1:16">
      <c r="A1203" s="157" t="s">
        <v>3729</v>
      </c>
      <c r="B1203" s="36" t="s">
        <v>3730</v>
      </c>
      <c r="C1203" s="267"/>
      <c r="D1203" s="268">
        <f t="shared" si="252"/>
        <v>0</v>
      </c>
      <c r="E1203" s="267"/>
      <c r="F1203" s="267"/>
      <c r="G1203" s="267"/>
      <c r="H1203" s="267"/>
      <c r="I1203" s="287"/>
      <c r="J1203" s="288">
        <f t="shared" si="253"/>
        <v>0</v>
      </c>
      <c r="K1203" s="276" t="s">
        <v>1087</v>
      </c>
      <c r="L1203" s="33">
        <v>1</v>
      </c>
      <c r="M1203" s="157" t="s">
        <v>3729</v>
      </c>
      <c r="N1203" s="157"/>
      <c r="O1203" s="157" t="s">
        <v>646</v>
      </c>
      <c r="P1203" s="163" t="s">
        <v>3731</v>
      </c>
    </row>
    <row r="1204" s="92" customFormat="1" ht="20.1" customHeight="1" spans="1:16">
      <c r="A1204" s="157" t="s">
        <v>3732</v>
      </c>
      <c r="B1204" s="36" t="s">
        <v>3733</v>
      </c>
      <c r="C1204" s="267">
        <v>37</v>
      </c>
      <c r="D1204" s="268">
        <f t="shared" si="252"/>
        <v>0</v>
      </c>
      <c r="E1204" s="267"/>
      <c r="F1204" s="267"/>
      <c r="G1204" s="267"/>
      <c r="H1204" s="267"/>
      <c r="I1204" s="287"/>
      <c r="J1204" s="288">
        <f t="shared" si="253"/>
        <v>-100</v>
      </c>
      <c r="K1204" s="276" t="s">
        <v>1087</v>
      </c>
      <c r="L1204" s="33">
        <v>1</v>
      </c>
      <c r="M1204" s="157" t="s">
        <v>3732</v>
      </c>
      <c r="N1204" s="157"/>
      <c r="O1204" s="157" t="s">
        <v>646</v>
      </c>
      <c r="P1204" s="163" t="s">
        <v>3734</v>
      </c>
    </row>
    <row r="1205" s="92" customFormat="1" ht="20.1" customHeight="1" spans="1:16">
      <c r="A1205" s="157" t="s">
        <v>3735</v>
      </c>
      <c r="B1205" s="36" t="s">
        <v>3736</v>
      </c>
      <c r="C1205" s="267"/>
      <c r="D1205" s="268">
        <f t="shared" si="252"/>
        <v>0</v>
      </c>
      <c r="E1205" s="267"/>
      <c r="F1205" s="267"/>
      <c r="G1205" s="267"/>
      <c r="H1205" s="267"/>
      <c r="I1205" s="287"/>
      <c r="J1205" s="288">
        <f t="shared" si="253"/>
        <v>0</v>
      </c>
      <c r="K1205" s="276" t="s">
        <v>1087</v>
      </c>
      <c r="L1205" s="33">
        <v>1</v>
      </c>
      <c r="M1205" s="157" t="s">
        <v>3735</v>
      </c>
      <c r="N1205" s="157"/>
      <c r="O1205" s="157" t="s">
        <v>646</v>
      </c>
      <c r="P1205" s="163" t="s">
        <v>3737</v>
      </c>
    </row>
    <row r="1206" s="92" customFormat="1" ht="20.1" customHeight="1" spans="1:16">
      <c r="A1206" s="157" t="s">
        <v>3738</v>
      </c>
      <c r="B1206" s="36" t="s">
        <v>3739</v>
      </c>
      <c r="C1206" s="267">
        <v>286</v>
      </c>
      <c r="D1206" s="268">
        <f t="shared" si="252"/>
        <v>344</v>
      </c>
      <c r="E1206" s="267">
        <v>344</v>
      </c>
      <c r="F1206" s="267"/>
      <c r="G1206" s="267"/>
      <c r="H1206" s="267"/>
      <c r="I1206" s="287"/>
      <c r="J1206" s="288">
        <f t="shared" si="253"/>
        <v>120.28</v>
      </c>
      <c r="K1206" s="276" t="s">
        <v>1087</v>
      </c>
      <c r="L1206" s="33">
        <v>1</v>
      </c>
      <c r="M1206" s="157" t="s">
        <v>3738</v>
      </c>
      <c r="N1206" s="157"/>
      <c r="O1206" s="157" t="s">
        <v>646</v>
      </c>
      <c r="P1206" s="163" t="s">
        <v>3740</v>
      </c>
    </row>
    <row r="1207" s="92" customFormat="1" ht="20.1" customHeight="1" spans="1:16">
      <c r="A1207" s="636" t="s">
        <v>3741</v>
      </c>
      <c r="B1207" s="637" t="s">
        <v>3742</v>
      </c>
      <c r="C1207" s="267">
        <v>207</v>
      </c>
      <c r="D1207" s="268">
        <f t="shared" si="252"/>
        <v>546</v>
      </c>
      <c r="E1207" s="267">
        <v>148</v>
      </c>
      <c r="F1207" s="267"/>
      <c r="G1207" s="267">
        <v>398</v>
      </c>
      <c r="H1207" s="267"/>
      <c r="I1207" s="287"/>
      <c r="J1207" s="288">
        <f t="shared" si="253"/>
        <v>263.77</v>
      </c>
      <c r="K1207" s="276" t="s">
        <v>1087</v>
      </c>
      <c r="L1207" s="33">
        <v>1</v>
      </c>
      <c r="M1207" s="636" t="s">
        <v>3741</v>
      </c>
      <c r="N1207" s="157"/>
      <c r="O1207" s="157" t="s">
        <v>646</v>
      </c>
      <c r="P1207" s="42" t="s">
        <v>3743</v>
      </c>
    </row>
    <row r="1208" s="92" customFormat="1" ht="20.1" customHeight="1" spans="1:16">
      <c r="A1208" s="172" t="s">
        <v>3744</v>
      </c>
      <c r="B1208" s="36" t="s">
        <v>3745</v>
      </c>
      <c r="C1208" s="267"/>
      <c r="D1208" s="268">
        <f t="shared" si="252"/>
        <v>0</v>
      </c>
      <c r="E1208" s="267"/>
      <c r="F1208" s="267"/>
      <c r="G1208" s="267"/>
      <c r="H1208" s="267"/>
      <c r="I1208" s="287"/>
      <c r="J1208" s="288"/>
      <c r="K1208" s="276" t="s">
        <v>1087</v>
      </c>
      <c r="L1208" s="33">
        <v>1</v>
      </c>
      <c r="M1208" s="172" t="s">
        <v>3744</v>
      </c>
      <c r="N1208" s="157"/>
      <c r="O1208" s="157" t="s">
        <v>646</v>
      </c>
      <c r="P1208" s="36" t="s">
        <v>3746</v>
      </c>
    </row>
    <row r="1209" s="92" customFormat="1" ht="20.1" customHeight="1" spans="1:16">
      <c r="A1209" s="172" t="s">
        <v>3747</v>
      </c>
      <c r="B1209" s="36" t="s">
        <v>3748</v>
      </c>
      <c r="C1209" s="267"/>
      <c r="D1209" s="268">
        <f t="shared" si="252"/>
        <v>0</v>
      </c>
      <c r="E1209" s="267"/>
      <c r="F1209" s="267"/>
      <c r="G1209" s="267"/>
      <c r="H1209" s="267"/>
      <c r="I1209" s="287"/>
      <c r="J1209" s="288"/>
      <c r="K1209" s="276" t="s">
        <v>1087</v>
      </c>
      <c r="L1209" s="33">
        <v>1</v>
      </c>
      <c r="M1209" s="172" t="s">
        <v>3747</v>
      </c>
      <c r="N1209" s="157"/>
      <c r="O1209" s="157" t="s">
        <v>646</v>
      </c>
      <c r="P1209" s="36" t="s">
        <v>3749</v>
      </c>
    </row>
    <row r="1210" s="92" customFormat="1" ht="20.1" customHeight="1" spans="1:16">
      <c r="A1210" s="172" t="s">
        <v>3750</v>
      </c>
      <c r="B1210" s="637" t="s">
        <v>3751</v>
      </c>
      <c r="C1210" s="267"/>
      <c r="D1210" s="268">
        <f t="shared" si="252"/>
        <v>0</v>
      </c>
      <c r="E1210" s="267"/>
      <c r="F1210" s="267"/>
      <c r="G1210" s="267"/>
      <c r="H1210" s="267"/>
      <c r="I1210" s="287"/>
      <c r="J1210" s="288"/>
      <c r="K1210" s="276" t="s">
        <v>1087</v>
      </c>
      <c r="L1210" s="33">
        <v>1</v>
      </c>
      <c r="M1210" s="172" t="s">
        <v>3750</v>
      </c>
      <c r="N1210" s="157"/>
      <c r="O1210" s="157" t="s">
        <v>646</v>
      </c>
      <c r="P1210" s="42" t="s">
        <v>3752</v>
      </c>
    </row>
    <row r="1211" s="92" customFormat="1" ht="20.1" customHeight="1" spans="1:16">
      <c r="A1211" s="157" t="s">
        <v>3753</v>
      </c>
      <c r="B1211" s="36" t="s">
        <v>3754</v>
      </c>
      <c r="C1211" s="267"/>
      <c r="D1211" s="268">
        <f t="shared" si="252"/>
        <v>30</v>
      </c>
      <c r="E1211" s="267"/>
      <c r="F1211" s="267"/>
      <c r="G1211" s="267"/>
      <c r="H1211" s="267"/>
      <c r="I1211" s="287">
        <v>30</v>
      </c>
      <c r="J1211" s="288">
        <f t="shared" ref="J1211:J1233" si="255">ROUND(IF(C1211=0,IF(D1211=0,0,1),IF(D1211=0,-1,D1211/C1211)),4)*100</f>
        <v>100</v>
      </c>
      <c r="K1211" s="276" t="s">
        <v>1087</v>
      </c>
      <c r="L1211" s="33">
        <v>1</v>
      </c>
      <c r="M1211" s="157" t="s">
        <v>3753</v>
      </c>
      <c r="N1211" s="157"/>
      <c r="O1211" s="157" t="s">
        <v>646</v>
      </c>
      <c r="P1211" s="163" t="s">
        <v>3755</v>
      </c>
    </row>
    <row r="1212" s="93" customFormat="1" ht="20.1" customHeight="1" spans="1:16">
      <c r="A1212" s="263" t="s">
        <v>647</v>
      </c>
      <c r="B1212" s="297" t="s">
        <v>3756</v>
      </c>
      <c r="C1212" s="265">
        <f t="shared" ref="C1212:I1212" si="256">SUM(C1213:C1215)</f>
        <v>9159</v>
      </c>
      <c r="D1212" s="265">
        <f t="shared" si="252"/>
        <v>3911</v>
      </c>
      <c r="E1212" s="265">
        <f t="shared" si="256"/>
        <v>0</v>
      </c>
      <c r="F1212" s="265">
        <f t="shared" si="256"/>
        <v>0</v>
      </c>
      <c r="G1212" s="265">
        <f t="shared" si="256"/>
        <v>0</v>
      </c>
      <c r="H1212" s="265">
        <f t="shared" si="256"/>
        <v>0</v>
      </c>
      <c r="I1212" s="265">
        <f t="shared" si="256"/>
        <v>3911</v>
      </c>
      <c r="J1212" s="298">
        <f t="shared" si="255"/>
        <v>42.7</v>
      </c>
      <c r="K1212" s="284" t="s">
        <v>1082</v>
      </c>
      <c r="L1212" s="285"/>
      <c r="M1212" s="263" t="s">
        <v>647</v>
      </c>
      <c r="N1212" s="263" t="s">
        <v>645</v>
      </c>
      <c r="O1212" s="263" t="s">
        <v>647</v>
      </c>
      <c r="P1212" s="286" t="s">
        <v>3757</v>
      </c>
    </row>
    <row r="1213" s="92" customFormat="1" ht="20.1" customHeight="1" spans="1:16">
      <c r="A1213" s="157" t="s">
        <v>3758</v>
      </c>
      <c r="B1213" s="36" t="s">
        <v>3759</v>
      </c>
      <c r="C1213" s="267">
        <v>9159</v>
      </c>
      <c r="D1213" s="268">
        <f t="shared" si="252"/>
        <v>3911</v>
      </c>
      <c r="E1213" s="267"/>
      <c r="F1213" s="267"/>
      <c r="G1213" s="267"/>
      <c r="H1213" s="267"/>
      <c r="I1213" s="287">
        <v>3911</v>
      </c>
      <c r="J1213" s="288">
        <f t="shared" si="255"/>
        <v>42.7</v>
      </c>
      <c r="K1213" s="276" t="s">
        <v>1087</v>
      </c>
      <c r="L1213" s="33">
        <v>1</v>
      </c>
      <c r="M1213" s="157" t="s">
        <v>3758</v>
      </c>
      <c r="N1213" s="157"/>
      <c r="O1213" s="157" t="s">
        <v>647</v>
      </c>
      <c r="P1213" s="163" t="s">
        <v>3760</v>
      </c>
    </row>
    <row r="1214" s="92" customFormat="1" ht="20.1" customHeight="1" spans="1:16">
      <c r="A1214" s="157" t="s">
        <v>3761</v>
      </c>
      <c r="B1214" s="36" t="s">
        <v>3762</v>
      </c>
      <c r="C1214" s="267">
        <v>0</v>
      </c>
      <c r="D1214" s="268">
        <f t="shared" si="252"/>
        <v>0</v>
      </c>
      <c r="E1214" s="267"/>
      <c r="F1214" s="267"/>
      <c r="G1214" s="267"/>
      <c r="H1214" s="267"/>
      <c r="I1214" s="287"/>
      <c r="J1214" s="288">
        <f t="shared" si="255"/>
        <v>0</v>
      </c>
      <c r="K1214" s="276" t="s">
        <v>1087</v>
      </c>
      <c r="L1214" s="33">
        <v>1</v>
      </c>
      <c r="M1214" s="157" t="s">
        <v>3761</v>
      </c>
      <c r="N1214" s="157"/>
      <c r="O1214" s="157" t="s">
        <v>647</v>
      </c>
      <c r="P1214" s="163" t="s">
        <v>3763</v>
      </c>
    </row>
    <row r="1215" s="92" customFormat="1" ht="20.1" customHeight="1" spans="1:16">
      <c r="A1215" s="157" t="s">
        <v>3764</v>
      </c>
      <c r="B1215" s="36" t="s">
        <v>3765</v>
      </c>
      <c r="C1215" s="267">
        <v>0</v>
      </c>
      <c r="D1215" s="268">
        <f t="shared" si="252"/>
        <v>0</v>
      </c>
      <c r="E1215" s="267"/>
      <c r="F1215" s="267"/>
      <c r="G1215" s="267"/>
      <c r="H1215" s="267"/>
      <c r="I1215" s="287"/>
      <c r="J1215" s="288">
        <f t="shared" si="255"/>
        <v>0</v>
      </c>
      <c r="K1215" s="276" t="s">
        <v>1087</v>
      </c>
      <c r="L1215" s="33">
        <v>1</v>
      </c>
      <c r="M1215" s="157" t="s">
        <v>3764</v>
      </c>
      <c r="N1215" s="157"/>
      <c r="O1215" s="157" t="s">
        <v>647</v>
      </c>
      <c r="P1215" s="163" t="s">
        <v>3766</v>
      </c>
    </row>
    <row r="1216" s="93" customFormat="1" ht="20.1" customHeight="1" spans="1:16">
      <c r="A1216" s="263" t="s">
        <v>648</v>
      </c>
      <c r="B1216" s="297" t="s">
        <v>3767</v>
      </c>
      <c r="C1216" s="265">
        <f t="shared" ref="C1216:I1216" si="257">SUM(C1217:C1219)</f>
        <v>0</v>
      </c>
      <c r="D1216" s="265">
        <f t="shared" si="252"/>
        <v>0</v>
      </c>
      <c r="E1216" s="265">
        <f t="shared" si="257"/>
        <v>0</v>
      </c>
      <c r="F1216" s="265">
        <f t="shared" si="257"/>
        <v>0</v>
      </c>
      <c r="G1216" s="265">
        <f t="shared" si="257"/>
        <v>0</v>
      </c>
      <c r="H1216" s="265">
        <f t="shared" si="257"/>
        <v>0</v>
      </c>
      <c r="I1216" s="265">
        <f t="shared" si="257"/>
        <v>0</v>
      </c>
      <c r="J1216" s="298">
        <f t="shared" si="255"/>
        <v>0</v>
      </c>
      <c r="K1216" s="284" t="s">
        <v>1082</v>
      </c>
      <c r="L1216" s="285"/>
      <c r="M1216" s="263" t="s">
        <v>648</v>
      </c>
      <c r="N1216" s="263" t="s">
        <v>645</v>
      </c>
      <c r="O1216" s="263" t="s">
        <v>648</v>
      </c>
      <c r="P1216" s="286" t="s">
        <v>3768</v>
      </c>
    </row>
    <row r="1217" s="92" customFormat="1" ht="20.1" customHeight="1" spans="1:16">
      <c r="A1217" s="157" t="s">
        <v>3769</v>
      </c>
      <c r="B1217" s="36" t="s">
        <v>3770</v>
      </c>
      <c r="C1217" s="267"/>
      <c r="D1217" s="268">
        <f t="shared" si="252"/>
        <v>0</v>
      </c>
      <c r="E1217" s="267"/>
      <c r="F1217" s="267"/>
      <c r="G1217" s="267"/>
      <c r="H1217" s="267"/>
      <c r="I1217" s="287"/>
      <c r="J1217" s="288">
        <f t="shared" si="255"/>
        <v>0</v>
      </c>
      <c r="K1217" s="276" t="s">
        <v>1087</v>
      </c>
      <c r="L1217" s="33">
        <v>1</v>
      </c>
      <c r="M1217" s="157" t="s">
        <v>3769</v>
      </c>
      <c r="N1217" s="157"/>
      <c r="O1217" s="157" t="s">
        <v>648</v>
      </c>
      <c r="P1217" s="163" t="s">
        <v>3771</v>
      </c>
    </row>
    <row r="1218" s="92" customFormat="1" ht="20.1" customHeight="1" spans="1:16">
      <c r="A1218" s="157" t="s">
        <v>3772</v>
      </c>
      <c r="B1218" s="36" t="s">
        <v>3773</v>
      </c>
      <c r="C1218" s="267">
        <v>0</v>
      </c>
      <c r="D1218" s="268">
        <f t="shared" si="252"/>
        <v>0</v>
      </c>
      <c r="E1218" s="267"/>
      <c r="F1218" s="267"/>
      <c r="G1218" s="267"/>
      <c r="H1218" s="267"/>
      <c r="I1218" s="287"/>
      <c r="J1218" s="288">
        <f t="shared" si="255"/>
        <v>0</v>
      </c>
      <c r="K1218" s="276" t="s">
        <v>1087</v>
      </c>
      <c r="L1218" s="33">
        <v>1</v>
      </c>
      <c r="M1218" s="157" t="s">
        <v>3772</v>
      </c>
      <c r="N1218" s="157"/>
      <c r="O1218" s="157" t="s">
        <v>648</v>
      </c>
      <c r="P1218" s="163" t="s">
        <v>3774</v>
      </c>
    </row>
    <row r="1219" s="92" customFormat="1" ht="20.1" customHeight="1" spans="1:16">
      <c r="A1219" s="157" t="s">
        <v>3775</v>
      </c>
      <c r="B1219" s="36" t="s">
        <v>3776</v>
      </c>
      <c r="C1219" s="267">
        <v>0</v>
      </c>
      <c r="D1219" s="268">
        <f t="shared" si="252"/>
        <v>0</v>
      </c>
      <c r="E1219" s="267"/>
      <c r="F1219" s="267"/>
      <c r="G1219" s="267"/>
      <c r="H1219" s="267"/>
      <c r="I1219" s="287"/>
      <c r="J1219" s="288">
        <f t="shared" si="255"/>
        <v>0</v>
      </c>
      <c r="K1219" s="276" t="s">
        <v>1087</v>
      </c>
      <c r="L1219" s="33">
        <v>1</v>
      </c>
      <c r="M1219" s="157" t="s">
        <v>3775</v>
      </c>
      <c r="N1219" s="157"/>
      <c r="O1219" s="157" t="s">
        <v>648</v>
      </c>
      <c r="P1219" s="163" t="s">
        <v>3777</v>
      </c>
    </row>
    <row r="1220" s="93" customFormat="1" ht="20.1" customHeight="1" spans="1:16">
      <c r="A1220" s="154" t="s">
        <v>649</v>
      </c>
      <c r="B1220" s="261" t="s">
        <v>405</v>
      </c>
      <c r="C1220" s="262">
        <f t="shared" ref="C1220:I1220" si="258">C1221+C1239+C1246+C1252</f>
        <v>146</v>
      </c>
      <c r="D1220" s="262">
        <f t="shared" si="252"/>
        <v>97</v>
      </c>
      <c r="E1220" s="262">
        <f t="shared" si="258"/>
        <v>0</v>
      </c>
      <c r="F1220" s="262">
        <f t="shared" si="258"/>
        <v>0</v>
      </c>
      <c r="G1220" s="262">
        <f t="shared" si="258"/>
        <v>0</v>
      </c>
      <c r="H1220" s="262">
        <f t="shared" si="258"/>
        <v>0</v>
      </c>
      <c r="I1220" s="262">
        <f t="shared" si="258"/>
        <v>97</v>
      </c>
      <c r="J1220" s="279">
        <f t="shared" si="255"/>
        <v>66.44</v>
      </c>
      <c r="K1220" s="280" t="s">
        <v>1081</v>
      </c>
      <c r="L1220" s="281"/>
      <c r="M1220" s="154" t="s">
        <v>649</v>
      </c>
      <c r="N1220" s="154" t="s">
        <v>649</v>
      </c>
      <c r="O1220" s="154" t="s">
        <v>649</v>
      </c>
      <c r="P1220" s="282" t="s">
        <v>3778</v>
      </c>
    </row>
    <row r="1221" s="93" customFormat="1" ht="20.1" customHeight="1" spans="1:16">
      <c r="A1221" s="263" t="s">
        <v>650</v>
      </c>
      <c r="B1221" s="297" t="s">
        <v>3779</v>
      </c>
      <c r="C1221" s="265">
        <f t="shared" ref="C1221:I1221" si="259">SUM(C1222:C1238)</f>
        <v>116</v>
      </c>
      <c r="D1221" s="265">
        <f t="shared" si="252"/>
        <v>97</v>
      </c>
      <c r="E1221" s="265">
        <f t="shared" si="259"/>
        <v>0</v>
      </c>
      <c r="F1221" s="265">
        <f t="shared" si="259"/>
        <v>0</v>
      </c>
      <c r="G1221" s="265">
        <f t="shared" si="259"/>
        <v>0</v>
      </c>
      <c r="H1221" s="265">
        <f t="shared" si="259"/>
        <v>0</v>
      </c>
      <c r="I1221" s="265">
        <f t="shared" si="259"/>
        <v>97</v>
      </c>
      <c r="J1221" s="298">
        <f t="shared" si="255"/>
        <v>83.62</v>
      </c>
      <c r="K1221" s="284" t="s">
        <v>1082</v>
      </c>
      <c r="L1221" s="285"/>
      <c r="M1221" s="263" t="s">
        <v>650</v>
      </c>
      <c r="N1221" s="263" t="s">
        <v>649</v>
      </c>
      <c r="O1221" s="263" t="s">
        <v>650</v>
      </c>
      <c r="P1221" s="286" t="s">
        <v>3780</v>
      </c>
    </row>
    <row r="1222" s="92" customFormat="1" ht="20.1" customHeight="1" spans="1:16">
      <c r="A1222" s="157" t="s">
        <v>3781</v>
      </c>
      <c r="B1222" s="36" t="s">
        <v>1086</v>
      </c>
      <c r="C1222" s="267">
        <v>0</v>
      </c>
      <c r="D1222" s="268">
        <f t="shared" si="252"/>
        <v>0</v>
      </c>
      <c r="E1222" s="267"/>
      <c r="F1222" s="267"/>
      <c r="G1222" s="267"/>
      <c r="H1222" s="267"/>
      <c r="I1222" s="287"/>
      <c r="J1222" s="288">
        <f t="shared" si="255"/>
        <v>0</v>
      </c>
      <c r="K1222" s="276" t="s">
        <v>1087</v>
      </c>
      <c r="L1222" s="33">
        <v>1</v>
      </c>
      <c r="M1222" s="157" t="s">
        <v>3781</v>
      </c>
      <c r="N1222" s="157"/>
      <c r="O1222" s="157" t="s">
        <v>650</v>
      </c>
      <c r="P1222" s="164" t="s">
        <v>1088</v>
      </c>
    </row>
    <row r="1223" s="92" customFormat="1" ht="20.1" customHeight="1" spans="1:16">
      <c r="A1223" s="157" t="s">
        <v>3782</v>
      </c>
      <c r="B1223" s="36" t="s">
        <v>1090</v>
      </c>
      <c r="C1223" s="267">
        <v>0</v>
      </c>
      <c r="D1223" s="268">
        <f t="shared" si="252"/>
        <v>0</v>
      </c>
      <c r="E1223" s="267"/>
      <c r="F1223" s="267"/>
      <c r="G1223" s="267"/>
      <c r="H1223" s="267"/>
      <c r="I1223" s="287"/>
      <c r="J1223" s="288">
        <f t="shared" si="255"/>
        <v>0</v>
      </c>
      <c r="K1223" s="276" t="s">
        <v>1087</v>
      </c>
      <c r="L1223" s="33">
        <v>1</v>
      </c>
      <c r="M1223" s="157" t="s">
        <v>3782</v>
      </c>
      <c r="N1223" s="157"/>
      <c r="O1223" s="157" t="s">
        <v>650</v>
      </c>
      <c r="P1223" s="164" t="s">
        <v>1091</v>
      </c>
    </row>
    <row r="1224" s="92" customFormat="1" ht="20.1" customHeight="1" spans="1:16">
      <c r="A1224" s="157" t="s">
        <v>3783</v>
      </c>
      <c r="B1224" s="36" t="s">
        <v>1093</v>
      </c>
      <c r="C1224" s="267">
        <v>0</v>
      </c>
      <c r="D1224" s="268">
        <f t="shared" si="252"/>
        <v>0</v>
      </c>
      <c r="E1224" s="267"/>
      <c r="F1224" s="267"/>
      <c r="G1224" s="267"/>
      <c r="H1224" s="267"/>
      <c r="I1224" s="287"/>
      <c r="J1224" s="288">
        <f t="shared" si="255"/>
        <v>0</v>
      </c>
      <c r="K1224" s="276" t="s">
        <v>1087</v>
      </c>
      <c r="L1224" s="33">
        <v>1</v>
      </c>
      <c r="M1224" s="157" t="s">
        <v>3783</v>
      </c>
      <c r="N1224" s="157"/>
      <c r="O1224" s="157" t="s">
        <v>650</v>
      </c>
      <c r="P1224" s="164" t="s">
        <v>1094</v>
      </c>
    </row>
    <row r="1225" s="92" customFormat="1" ht="20.1" customHeight="1" spans="1:16">
      <c r="A1225" s="157" t="s">
        <v>3784</v>
      </c>
      <c r="B1225" s="36" t="s">
        <v>3785</v>
      </c>
      <c r="C1225" s="267">
        <v>0</v>
      </c>
      <c r="D1225" s="268">
        <f t="shared" si="252"/>
        <v>0</v>
      </c>
      <c r="E1225" s="267"/>
      <c r="F1225" s="267"/>
      <c r="G1225" s="267"/>
      <c r="H1225" s="267"/>
      <c r="I1225" s="287"/>
      <c r="J1225" s="288">
        <f t="shared" si="255"/>
        <v>0</v>
      </c>
      <c r="K1225" s="276" t="s">
        <v>1087</v>
      </c>
      <c r="L1225" s="33">
        <v>1</v>
      </c>
      <c r="M1225" s="157" t="s">
        <v>3784</v>
      </c>
      <c r="N1225" s="157"/>
      <c r="O1225" s="157" t="s">
        <v>650</v>
      </c>
      <c r="P1225" s="163" t="s">
        <v>3786</v>
      </c>
    </row>
    <row r="1226" s="92" customFormat="1" ht="20.1" customHeight="1" spans="1:16">
      <c r="A1226" s="157" t="s">
        <v>3787</v>
      </c>
      <c r="B1226" s="36" t="s">
        <v>3788</v>
      </c>
      <c r="C1226" s="267"/>
      <c r="D1226" s="268">
        <f t="shared" si="252"/>
        <v>0</v>
      </c>
      <c r="E1226" s="267"/>
      <c r="F1226" s="267"/>
      <c r="G1226" s="267"/>
      <c r="H1226" s="267"/>
      <c r="I1226" s="287"/>
      <c r="J1226" s="288">
        <f t="shared" si="255"/>
        <v>0</v>
      </c>
      <c r="K1226" s="276" t="s">
        <v>1087</v>
      </c>
      <c r="L1226" s="33">
        <v>1</v>
      </c>
      <c r="M1226" s="157" t="s">
        <v>3787</v>
      </c>
      <c r="N1226" s="157"/>
      <c r="O1226" s="157" t="s">
        <v>650</v>
      </c>
      <c r="P1226" s="163" t="s">
        <v>3789</v>
      </c>
    </row>
    <row r="1227" s="92" customFormat="1" ht="20.1" customHeight="1" spans="1:16">
      <c r="A1227" s="157" t="s">
        <v>3790</v>
      </c>
      <c r="B1227" s="36" t="s">
        <v>3791</v>
      </c>
      <c r="C1227" s="267">
        <v>0</v>
      </c>
      <c r="D1227" s="268">
        <f t="shared" si="252"/>
        <v>0</v>
      </c>
      <c r="E1227" s="267"/>
      <c r="F1227" s="267"/>
      <c r="G1227" s="267"/>
      <c r="H1227" s="267"/>
      <c r="I1227" s="287"/>
      <c r="J1227" s="288">
        <f t="shared" si="255"/>
        <v>0</v>
      </c>
      <c r="K1227" s="276" t="s">
        <v>1087</v>
      </c>
      <c r="L1227" s="33">
        <v>1</v>
      </c>
      <c r="M1227" s="157" t="s">
        <v>3790</v>
      </c>
      <c r="N1227" s="157"/>
      <c r="O1227" s="157" t="s">
        <v>650</v>
      </c>
      <c r="P1227" s="163" t="s">
        <v>3792</v>
      </c>
    </row>
    <row r="1228" s="92" customFormat="1" ht="20.1" customHeight="1" spans="1:16">
      <c r="A1228" s="157" t="s">
        <v>3793</v>
      </c>
      <c r="B1228" s="36" t="s">
        <v>3794</v>
      </c>
      <c r="C1228" s="267">
        <v>0</v>
      </c>
      <c r="D1228" s="268">
        <f t="shared" si="252"/>
        <v>0</v>
      </c>
      <c r="E1228" s="267"/>
      <c r="F1228" s="267"/>
      <c r="G1228" s="267"/>
      <c r="H1228" s="267"/>
      <c r="I1228" s="287"/>
      <c r="J1228" s="288">
        <f t="shared" si="255"/>
        <v>0</v>
      </c>
      <c r="K1228" s="276" t="s">
        <v>1087</v>
      </c>
      <c r="L1228" s="33">
        <v>1</v>
      </c>
      <c r="M1228" s="157" t="s">
        <v>3793</v>
      </c>
      <c r="N1228" s="157"/>
      <c r="O1228" s="157" t="s">
        <v>650</v>
      </c>
      <c r="P1228" s="163" t="s">
        <v>3795</v>
      </c>
    </row>
    <row r="1229" s="92" customFormat="1" ht="20.1" customHeight="1" spans="1:16">
      <c r="A1229" s="157" t="s">
        <v>3796</v>
      </c>
      <c r="B1229" s="36" t="s">
        <v>3797</v>
      </c>
      <c r="C1229" s="267">
        <v>0</v>
      </c>
      <c r="D1229" s="268">
        <f t="shared" si="252"/>
        <v>0</v>
      </c>
      <c r="E1229" s="267"/>
      <c r="F1229" s="267"/>
      <c r="G1229" s="267"/>
      <c r="H1229" s="267"/>
      <c r="I1229" s="287"/>
      <c r="J1229" s="288">
        <f t="shared" si="255"/>
        <v>0</v>
      </c>
      <c r="K1229" s="276" t="s">
        <v>1087</v>
      </c>
      <c r="L1229" s="33">
        <v>1</v>
      </c>
      <c r="M1229" s="157" t="s">
        <v>3796</v>
      </c>
      <c r="N1229" s="157"/>
      <c r="O1229" s="157" t="s">
        <v>650</v>
      </c>
      <c r="P1229" s="163" t="s">
        <v>3798</v>
      </c>
    </row>
    <row r="1230" s="92" customFormat="1" ht="20.1" customHeight="1" spans="1:16">
      <c r="A1230" s="157" t="s">
        <v>3799</v>
      </c>
      <c r="B1230" s="36" t="s">
        <v>3800</v>
      </c>
      <c r="C1230" s="267">
        <v>0</v>
      </c>
      <c r="D1230" s="268">
        <f t="shared" si="252"/>
        <v>0</v>
      </c>
      <c r="E1230" s="267"/>
      <c r="F1230" s="267"/>
      <c r="G1230" s="267"/>
      <c r="H1230" s="267"/>
      <c r="I1230" s="287"/>
      <c r="J1230" s="288">
        <f t="shared" si="255"/>
        <v>0</v>
      </c>
      <c r="K1230" s="276" t="s">
        <v>1087</v>
      </c>
      <c r="L1230" s="33">
        <v>1</v>
      </c>
      <c r="M1230" s="157" t="s">
        <v>3799</v>
      </c>
      <c r="N1230" s="157"/>
      <c r="O1230" s="157" t="s">
        <v>650</v>
      </c>
      <c r="P1230" s="163" t="s">
        <v>3801</v>
      </c>
    </row>
    <row r="1231" s="92" customFormat="1" ht="20.1" customHeight="1" spans="1:16">
      <c r="A1231" s="157" t="s">
        <v>3802</v>
      </c>
      <c r="B1231" s="36" t="s">
        <v>3803</v>
      </c>
      <c r="C1231" s="267">
        <v>0</v>
      </c>
      <c r="D1231" s="268">
        <f t="shared" si="252"/>
        <v>0</v>
      </c>
      <c r="E1231" s="267"/>
      <c r="F1231" s="267"/>
      <c r="G1231" s="267"/>
      <c r="H1231" s="267"/>
      <c r="I1231" s="287"/>
      <c r="J1231" s="288">
        <f t="shared" si="255"/>
        <v>0</v>
      </c>
      <c r="K1231" s="276" t="s">
        <v>1087</v>
      </c>
      <c r="L1231" s="33">
        <v>1</v>
      </c>
      <c r="M1231" s="157" t="s">
        <v>3802</v>
      </c>
      <c r="N1231" s="157"/>
      <c r="O1231" s="157" t="s">
        <v>650</v>
      </c>
      <c r="P1231" s="163" t="s">
        <v>3804</v>
      </c>
    </row>
    <row r="1232" s="92" customFormat="1" ht="20.1" customHeight="1" spans="1:16">
      <c r="A1232" s="157" t="s">
        <v>3805</v>
      </c>
      <c r="B1232" s="36" t="s">
        <v>3806</v>
      </c>
      <c r="C1232" s="267"/>
      <c r="D1232" s="268">
        <f t="shared" si="252"/>
        <v>0</v>
      </c>
      <c r="E1232" s="267"/>
      <c r="F1232" s="267"/>
      <c r="G1232" s="267"/>
      <c r="H1232" s="267"/>
      <c r="I1232" s="287"/>
      <c r="J1232" s="288">
        <f t="shared" si="255"/>
        <v>0</v>
      </c>
      <c r="K1232" s="276" t="s">
        <v>1087</v>
      </c>
      <c r="L1232" s="33">
        <v>1</v>
      </c>
      <c r="M1232" s="157" t="s">
        <v>3805</v>
      </c>
      <c r="N1232" s="157"/>
      <c r="O1232" s="157" t="s">
        <v>650</v>
      </c>
      <c r="P1232" s="163" t="s">
        <v>3807</v>
      </c>
    </row>
    <row r="1233" s="92" customFormat="1" ht="20.1" customHeight="1" spans="1:16">
      <c r="A1233" s="157" t="s">
        <v>3808</v>
      </c>
      <c r="B1233" s="36" t="s">
        <v>3809</v>
      </c>
      <c r="C1233" s="267">
        <v>0</v>
      </c>
      <c r="D1233" s="268">
        <f t="shared" si="252"/>
        <v>0</v>
      </c>
      <c r="E1233" s="267"/>
      <c r="F1233" s="267"/>
      <c r="G1233" s="267"/>
      <c r="H1233" s="267"/>
      <c r="I1233" s="287"/>
      <c r="J1233" s="288">
        <f t="shared" si="255"/>
        <v>0</v>
      </c>
      <c r="K1233" s="276" t="s">
        <v>1087</v>
      </c>
      <c r="L1233" s="33">
        <v>1</v>
      </c>
      <c r="M1233" s="157" t="s">
        <v>3808</v>
      </c>
      <c r="N1233" s="157"/>
      <c r="O1233" s="157" t="s">
        <v>650</v>
      </c>
      <c r="P1233" s="163" t="s">
        <v>3810</v>
      </c>
    </row>
    <row r="1234" s="92" customFormat="1" ht="20.1" customHeight="1" spans="1:16">
      <c r="A1234" s="157" t="s">
        <v>3811</v>
      </c>
      <c r="B1234" s="36" t="s">
        <v>3812</v>
      </c>
      <c r="C1234" s="267"/>
      <c r="D1234" s="268">
        <f t="shared" si="252"/>
        <v>0</v>
      </c>
      <c r="E1234" s="267"/>
      <c r="F1234" s="267"/>
      <c r="G1234" s="267"/>
      <c r="H1234" s="267"/>
      <c r="I1234" s="287"/>
      <c r="J1234" s="288"/>
      <c r="K1234" s="276" t="s">
        <v>1087</v>
      </c>
      <c r="L1234" s="33">
        <v>1</v>
      </c>
      <c r="M1234" s="157" t="s">
        <v>3811</v>
      </c>
      <c r="N1234" s="157"/>
      <c r="O1234" s="157" t="s">
        <v>650</v>
      </c>
      <c r="P1234" s="36" t="s">
        <v>3813</v>
      </c>
    </row>
    <row r="1235" s="92" customFormat="1" ht="20.1" customHeight="1" spans="1:16">
      <c r="A1235" s="157" t="s">
        <v>3814</v>
      </c>
      <c r="B1235" s="36" t="s">
        <v>3815</v>
      </c>
      <c r="C1235" s="267"/>
      <c r="D1235" s="268">
        <f t="shared" si="252"/>
        <v>0</v>
      </c>
      <c r="E1235" s="267"/>
      <c r="F1235" s="267"/>
      <c r="G1235" s="267"/>
      <c r="H1235" s="267"/>
      <c r="I1235" s="287"/>
      <c r="J1235" s="288"/>
      <c r="K1235" s="276" t="s">
        <v>1087</v>
      </c>
      <c r="L1235" s="33">
        <v>1</v>
      </c>
      <c r="M1235" s="157" t="s">
        <v>3814</v>
      </c>
      <c r="N1235" s="157"/>
      <c r="O1235" s="157" t="s">
        <v>650</v>
      </c>
      <c r="P1235" s="36" t="s">
        <v>3816</v>
      </c>
    </row>
    <row r="1236" s="92" customFormat="1" ht="20.1" customHeight="1" spans="1:16">
      <c r="A1236" s="157" t="s">
        <v>3817</v>
      </c>
      <c r="B1236" s="36" t="s">
        <v>3818</v>
      </c>
      <c r="C1236" s="267"/>
      <c r="D1236" s="268">
        <f t="shared" si="252"/>
        <v>0</v>
      </c>
      <c r="E1236" s="267"/>
      <c r="F1236" s="267"/>
      <c r="G1236" s="267"/>
      <c r="H1236" s="267"/>
      <c r="I1236" s="287"/>
      <c r="J1236" s="288"/>
      <c r="K1236" s="276" t="s">
        <v>1087</v>
      </c>
      <c r="L1236" s="33">
        <v>1</v>
      </c>
      <c r="M1236" s="157" t="s">
        <v>3817</v>
      </c>
      <c r="N1236" s="157"/>
      <c r="O1236" s="157" t="s">
        <v>650</v>
      </c>
      <c r="P1236" s="36" t="s">
        <v>3819</v>
      </c>
    </row>
    <row r="1237" s="92" customFormat="1" ht="20.1" customHeight="1" spans="1:16">
      <c r="A1237" s="157" t="s">
        <v>3820</v>
      </c>
      <c r="B1237" s="36" t="s">
        <v>1114</v>
      </c>
      <c r="C1237" s="267">
        <v>116</v>
      </c>
      <c r="D1237" s="268">
        <f t="shared" si="252"/>
        <v>97</v>
      </c>
      <c r="E1237" s="267"/>
      <c r="F1237" s="267"/>
      <c r="G1237" s="267"/>
      <c r="H1237" s="267"/>
      <c r="I1237" s="287">
        <v>97</v>
      </c>
      <c r="J1237" s="288">
        <f t="shared" ref="J1237:J1242" si="260">ROUND(IF(C1237=0,IF(D1237=0,0,1),IF(D1237=0,-1,D1237/C1237)),4)*100</f>
        <v>83.62</v>
      </c>
      <c r="K1237" s="276" t="s">
        <v>1087</v>
      </c>
      <c r="L1237" s="33">
        <v>1</v>
      </c>
      <c r="M1237" s="157" t="s">
        <v>3820</v>
      </c>
      <c r="N1237" s="157"/>
      <c r="O1237" s="157" t="s">
        <v>650</v>
      </c>
      <c r="P1237" s="36" t="s">
        <v>1115</v>
      </c>
    </row>
    <row r="1238" s="92" customFormat="1" ht="20.1" customHeight="1" spans="1:16">
      <c r="A1238" s="157" t="s">
        <v>3821</v>
      </c>
      <c r="B1238" s="36" t="s">
        <v>3822</v>
      </c>
      <c r="C1238" s="267">
        <v>0</v>
      </c>
      <c r="D1238" s="268">
        <f t="shared" si="252"/>
        <v>0</v>
      </c>
      <c r="E1238" s="267"/>
      <c r="F1238" s="267"/>
      <c r="G1238" s="267"/>
      <c r="H1238" s="267"/>
      <c r="I1238" s="287"/>
      <c r="J1238" s="288">
        <f t="shared" si="260"/>
        <v>0</v>
      </c>
      <c r="K1238" s="276" t="s">
        <v>1087</v>
      </c>
      <c r="L1238" s="33">
        <v>1</v>
      </c>
      <c r="M1238" s="157" t="s">
        <v>3821</v>
      </c>
      <c r="N1238" s="157"/>
      <c r="O1238" s="157" t="s">
        <v>650</v>
      </c>
      <c r="P1238" s="163" t="s">
        <v>3823</v>
      </c>
    </row>
    <row r="1239" s="93" customFormat="1" ht="20.1" customHeight="1" spans="1:16">
      <c r="A1239" s="263" t="s">
        <v>651</v>
      </c>
      <c r="B1239" s="297" t="s">
        <v>3824</v>
      </c>
      <c r="C1239" s="265">
        <f t="shared" ref="C1239:I1239" si="261">SUM(C1240:C1245)</f>
        <v>0</v>
      </c>
      <c r="D1239" s="265">
        <f t="shared" si="252"/>
        <v>0</v>
      </c>
      <c r="E1239" s="265">
        <f t="shared" si="261"/>
        <v>0</v>
      </c>
      <c r="F1239" s="265">
        <f t="shared" si="261"/>
        <v>0</v>
      </c>
      <c r="G1239" s="265">
        <f t="shared" si="261"/>
        <v>0</v>
      </c>
      <c r="H1239" s="265">
        <f t="shared" si="261"/>
        <v>0</v>
      </c>
      <c r="I1239" s="265">
        <f t="shared" si="261"/>
        <v>0</v>
      </c>
      <c r="J1239" s="298">
        <f t="shared" si="260"/>
        <v>0</v>
      </c>
      <c r="K1239" s="284" t="s">
        <v>1082</v>
      </c>
      <c r="L1239" s="285"/>
      <c r="M1239" s="263" t="s">
        <v>651</v>
      </c>
      <c r="N1239" s="263" t="s">
        <v>649</v>
      </c>
      <c r="O1239" s="263" t="s">
        <v>651</v>
      </c>
      <c r="P1239" s="286" t="s">
        <v>3825</v>
      </c>
    </row>
    <row r="1240" s="92" customFormat="1" ht="20.1" customHeight="1" spans="1:16">
      <c r="A1240" s="157" t="s">
        <v>3826</v>
      </c>
      <c r="B1240" s="36" t="s">
        <v>3827</v>
      </c>
      <c r="C1240" s="267">
        <v>0</v>
      </c>
      <c r="D1240" s="268">
        <f t="shared" si="252"/>
        <v>0</v>
      </c>
      <c r="E1240" s="267"/>
      <c r="F1240" s="267"/>
      <c r="G1240" s="267"/>
      <c r="H1240" s="267"/>
      <c r="I1240" s="287"/>
      <c r="J1240" s="288">
        <f t="shared" si="260"/>
        <v>0</v>
      </c>
      <c r="K1240" s="276" t="s">
        <v>1087</v>
      </c>
      <c r="L1240" s="33">
        <v>1</v>
      </c>
      <c r="M1240" s="157" t="s">
        <v>3826</v>
      </c>
      <c r="N1240" s="157"/>
      <c r="O1240" s="157" t="s">
        <v>651</v>
      </c>
      <c r="P1240" s="164" t="s">
        <v>3828</v>
      </c>
    </row>
    <row r="1241" s="92" customFormat="1" ht="20.1" customHeight="1" spans="1:16">
      <c r="A1241" s="157" t="s">
        <v>3829</v>
      </c>
      <c r="B1241" s="36" t="s">
        <v>3830</v>
      </c>
      <c r="C1241" s="267">
        <v>0</v>
      </c>
      <c r="D1241" s="268">
        <f t="shared" si="252"/>
        <v>0</v>
      </c>
      <c r="E1241" s="267"/>
      <c r="F1241" s="267"/>
      <c r="G1241" s="267"/>
      <c r="H1241" s="267"/>
      <c r="I1241" s="287"/>
      <c r="J1241" s="288">
        <f t="shared" si="260"/>
        <v>0</v>
      </c>
      <c r="K1241" s="276" t="s">
        <v>1087</v>
      </c>
      <c r="L1241" s="33">
        <v>1</v>
      </c>
      <c r="M1241" s="157" t="s">
        <v>3829</v>
      </c>
      <c r="N1241" s="157"/>
      <c r="O1241" s="157" t="s">
        <v>651</v>
      </c>
      <c r="P1241" s="163" t="s">
        <v>3831</v>
      </c>
    </row>
    <row r="1242" s="92" customFormat="1" ht="20.1" customHeight="1" spans="1:16">
      <c r="A1242" s="157" t="s">
        <v>3832</v>
      </c>
      <c r="B1242" s="36" t="s">
        <v>3833</v>
      </c>
      <c r="C1242" s="267">
        <v>0</v>
      </c>
      <c r="D1242" s="268">
        <f t="shared" si="252"/>
        <v>0</v>
      </c>
      <c r="E1242" s="267"/>
      <c r="F1242" s="267"/>
      <c r="G1242" s="267"/>
      <c r="H1242" s="267"/>
      <c r="I1242" s="287"/>
      <c r="J1242" s="288">
        <f t="shared" si="260"/>
        <v>0</v>
      </c>
      <c r="K1242" s="276" t="s">
        <v>1087</v>
      </c>
      <c r="L1242" s="33">
        <v>1</v>
      </c>
      <c r="M1242" s="157" t="s">
        <v>3832</v>
      </c>
      <c r="N1242" s="157"/>
      <c r="O1242" s="157" t="s">
        <v>651</v>
      </c>
      <c r="P1242" s="163" t="s">
        <v>3834</v>
      </c>
    </row>
    <row r="1243" s="92" customFormat="1" ht="20.1" customHeight="1" spans="1:16">
      <c r="A1243" s="157" t="s">
        <v>3835</v>
      </c>
      <c r="B1243" s="36" t="s">
        <v>3836</v>
      </c>
      <c r="C1243" s="267"/>
      <c r="D1243" s="268">
        <f t="shared" si="252"/>
        <v>0</v>
      </c>
      <c r="E1243" s="267"/>
      <c r="F1243" s="267"/>
      <c r="G1243" s="267"/>
      <c r="H1243" s="267"/>
      <c r="I1243" s="287"/>
      <c r="J1243" s="288"/>
      <c r="K1243" s="276" t="s">
        <v>1087</v>
      </c>
      <c r="L1243" s="33">
        <v>1</v>
      </c>
      <c r="M1243" s="157" t="s">
        <v>3835</v>
      </c>
      <c r="N1243" s="157"/>
      <c r="O1243" s="157" t="s">
        <v>651</v>
      </c>
      <c r="P1243" s="36" t="s">
        <v>3837</v>
      </c>
    </row>
    <row r="1244" s="92" customFormat="1" ht="20.1" customHeight="1" spans="1:16">
      <c r="A1244" s="157" t="s">
        <v>3838</v>
      </c>
      <c r="B1244" s="36" t="s">
        <v>3839</v>
      </c>
      <c r="C1244" s="267"/>
      <c r="D1244" s="268">
        <f t="shared" si="252"/>
        <v>0</v>
      </c>
      <c r="E1244" s="267"/>
      <c r="F1244" s="267"/>
      <c r="G1244" s="267"/>
      <c r="H1244" s="267"/>
      <c r="I1244" s="287"/>
      <c r="J1244" s="288"/>
      <c r="K1244" s="276" t="s">
        <v>1087</v>
      </c>
      <c r="L1244" s="33">
        <v>1</v>
      </c>
      <c r="M1244" s="157" t="s">
        <v>3838</v>
      </c>
      <c r="N1244" s="157"/>
      <c r="O1244" s="157" t="s">
        <v>651</v>
      </c>
      <c r="P1244" s="36" t="s">
        <v>3840</v>
      </c>
    </row>
    <row r="1245" s="92" customFormat="1" ht="20.1" customHeight="1" spans="1:16">
      <c r="A1245" s="157" t="s">
        <v>3841</v>
      </c>
      <c r="B1245" s="36" t="s">
        <v>3842</v>
      </c>
      <c r="C1245" s="267">
        <v>0</v>
      </c>
      <c r="D1245" s="268">
        <f t="shared" si="252"/>
        <v>0</v>
      </c>
      <c r="E1245" s="267"/>
      <c r="F1245" s="267"/>
      <c r="G1245" s="267"/>
      <c r="H1245" s="267"/>
      <c r="I1245" s="287"/>
      <c r="J1245" s="288">
        <f t="shared" ref="J1245:J1262" si="262">ROUND(IF(C1245=0,IF(D1245=0,0,1),IF(D1245=0,-1,D1245/C1245)),4)*100</f>
        <v>0</v>
      </c>
      <c r="K1245" s="276" t="s">
        <v>1087</v>
      </c>
      <c r="L1245" s="33">
        <v>1</v>
      </c>
      <c r="M1245" s="157" t="s">
        <v>3841</v>
      </c>
      <c r="N1245" s="157"/>
      <c r="O1245" s="157" t="s">
        <v>651</v>
      </c>
      <c r="P1245" s="164" t="s">
        <v>3843</v>
      </c>
    </row>
    <row r="1246" s="93" customFormat="1" ht="20.1" customHeight="1" spans="1:16">
      <c r="A1246" s="263" t="s">
        <v>652</v>
      </c>
      <c r="B1246" s="297" t="s">
        <v>3844</v>
      </c>
      <c r="C1246" s="265">
        <f t="shared" ref="C1246:I1246" si="263">SUM(C1247:C1251)</f>
        <v>30</v>
      </c>
      <c r="D1246" s="265">
        <f t="shared" si="252"/>
        <v>0</v>
      </c>
      <c r="E1246" s="265">
        <f t="shared" si="263"/>
        <v>0</v>
      </c>
      <c r="F1246" s="265">
        <f t="shared" si="263"/>
        <v>0</v>
      </c>
      <c r="G1246" s="265">
        <f t="shared" si="263"/>
        <v>0</v>
      </c>
      <c r="H1246" s="265">
        <f t="shared" si="263"/>
        <v>0</v>
      </c>
      <c r="I1246" s="265">
        <f t="shared" si="263"/>
        <v>0</v>
      </c>
      <c r="J1246" s="298">
        <f t="shared" si="262"/>
        <v>-100</v>
      </c>
      <c r="K1246" s="284" t="s">
        <v>1082</v>
      </c>
      <c r="L1246" s="285"/>
      <c r="M1246" s="263" t="s">
        <v>652</v>
      </c>
      <c r="N1246" s="263" t="s">
        <v>649</v>
      </c>
      <c r="O1246" s="263" t="s">
        <v>652</v>
      </c>
      <c r="P1246" s="286" t="s">
        <v>3845</v>
      </c>
    </row>
    <row r="1247" s="92" customFormat="1" ht="20.1" customHeight="1" spans="1:16">
      <c r="A1247" s="157" t="s">
        <v>3846</v>
      </c>
      <c r="B1247" s="36" t="s">
        <v>3847</v>
      </c>
      <c r="C1247" s="267">
        <v>0</v>
      </c>
      <c r="D1247" s="268">
        <f t="shared" si="252"/>
        <v>0</v>
      </c>
      <c r="E1247" s="267"/>
      <c r="F1247" s="267"/>
      <c r="G1247" s="267"/>
      <c r="H1247" s="267"/>
      <c r="I1247" s="287"/>
      <c r="J1247" s="288">
        <f t="shared" si="262"/>
        <v>0</v>
      </c>
      <c r="K1247" s="276" t="s">
        <v>1087</v>
      </c>
      <c r="L1247" s="33">
        <v>1</v>
      </c>
      <c r="M1247" s="157" t="s">
        <v>3846</v>
      </c>
      <c r="N1247" s="157"/>
      <c r="O1247" s="157" t="s">
        <v>652</v>
      </c>
      <c r="P1247" s="163" t="s">
        <v>3848</v>
      </c>
    </row>
    <row r="1248" s="92" customFormat="1" ht="20.1" customHeight="1" spans="1:16">
      <c r="A1248" s="157" t="s">
        <v>3849</v>
      </c>
      <c r="B1248" s="36" t="s">
        <v>3850</v>
      </c>
      <c r="C1248" s="267">
        <v>0</v>
      </c>
      <c r="D1248" s="268">
        <f t="shared" si="252"/>
        <v>0</v>
      </c>
      <c r="E1248" s="267"/>
      <c r="F1248" s="267"/>
      <c r="G1248" s="267"/>
      <c r="H1248" s="267"/>
      <c r="I1248" s="287"/>
      <c r="J1248" s="288">
        <f t="shared" si="262"/>
        <v>0</v>
      </c>
      <c r="K1248" s="276" t="s">
        <v>1087</v>
      </c>
      <c r="L1248" s="33">
        <v>1</v>
      </c>
      <c r="M1248" s="157" t="s">
        <v>3849</v>
      </c>
      <c r="N1248" s="157"/>
      <c r="O1248" s="157" t="s">
        <v>652</v>
      </c>
      <c r="P1248" s="163" t="s">
        <v>3851</v>
      </c>
    </row>
    <row r="1249" s="92" customFormat="1" ht="20.1" customHeight="1" spans="1:16">
      <c r="A1249" s="157" t="s">
        <v>3852</v>
      </c>
      <c r="B1249" s="36" t="s">
        <v>3853</v>
      </c>
      <c r="C1249" s="267">
        <v>30</v>
      </c>
      <c r="D1249" s="268">
        <f t="shared" si="252"/>
        <v>0</v>
      </c>
      <c r="E1249" s="267"/>
      <c r="F1249" s="267"/>
      <c r="G1249" s="267"/>
      <c r="H1249" s="267"/>
      <c r="I1249" s="287"/>
      <c r="J1249" s="288">
        <f t="shared" si="262"/>
        <v>-100</v>
      </c>
      <c r="K1249" s="276" t="s">
        <v>1087</v>
      </c>
      <c r="L1249" s="33">
        <v>1</v>
      </c>
      <c r="M1249" s="157" t="s">
        <v>3852</v>
      </c>
      <c r="N1249" s="157"/>
      <c r="O1249" s="157" t="s">
        <v>652</v>
      </c>
      <c r="P1249" s="163" t="s">
        <v>3854</v>
      </c>
    </row>
    <row r="1250" s="92" customFormat="1" ht="20.1" customHeight="1" spans="1:16">
      <c r="A1250" s="157" t="s">
        <v>3855</v>
      </c>
      <c r="B1250" s="36" t="s">
        <v>3856</v>
      </c>
      <c r="C1250" s="267">
        <v>0</v>
      </c>
      <c r="D1250" s="268">
        <f t="shared" si="252"/>
        <v>0</v>
      </c>
      <c r="E1250" s="267"/>
      <c r="F1250" s="267"/>
      <c r="G1250" s="267"/>
      <c r="H1250" s="267"/>
      <c r="I1250" s="287"/>
      <c r="J1250" s="288">
        <f t="shared" si="262"/>
        <v>0</v>
      </c>
      <c r="K1250" s="276" t="s">
        <v>1087</v>
      </c>
      <c r="L1250" s="33">
        <v>1</v>
      </c>
      <c r="M1250" s="157" t="s">
        <v>3855</v>
      </c>
      <c r="N1250" s="157"/>
      <c r="O1250" s="157" t="s">
        <v>652</v>
      </c>
      <c r="P1250" s="163" t="s">
        <v>3857</v>
      </c>
    </row>
    <row r="1251" s="92" customFormat="1" ht="20.1" customHeight="1" spans="1:16">
      <c r="A1251" s="157" t="s">
        <v>3858</v>
      </c>
      <c r="B1251" s="36" t="s">
        <v>3859</v>
      </c>
      <c r="C1251" s="267">
        <v>0</v>
      </c>
      <c r="D1251" s="268">
        <f t="shared" si="252"/>
        <v>0</v>
      </c>
      <c r="E1251" s="267"/>
      <c r="F1251" s="267"/>
      <c r="G1251" s="267"/>
      <c r="H1251" s="267"/>
      <c r="I1251" s="287"/>
      <c r="J1251" s="288">
        <f t="shared" si="262"/>
        <v>0</v>
      </c>
      <c r="K1251" s="276" t="s">
        <v>1087</v>
      </c>
      <c r="L1251" s="33">
        <v>1</v>
      </c>
      <c r="M1251" s="157" t="s">
        <v>3858</v>
      </c>
      <c r="N1251" s="157"/>
      <c r="O1251" s="157" t="s">
        <v>652</v>
      </c>
      <c r="P1251" s="163" t="s">
        <v>3860</v>
      </c>
    </row>
    <row r="1252" s="93" customFormat="1" ht="20.1" customHeight="1" spans="1:16">
      <c r="A1252" s="263" t="s">
        <v>653</v>
      </c>
      <c r="B1252" s="297" t="s">
        <v>3861</v>
      </c>
      <c r="C1252" s="265">
        <f t="shared" ref="C1252:I1252" si="264">SUM(C1253:C1264)</f>
        <v>0</v>
      </c>
      <c r="D1252" s="265">
        <f t="shared" si="252"/>
        <v>0</v>
      </c>
      <c r="E1252" s="265">
        <f t="shared" si="264"/>
        <v>0</v>
      </c>
      <c r="F1252" s="265">
        <f t="shared" si="264"/>
        <v>0</v>
      </c>
      <c r="G1252" s="265">
        <f t="shared" si="264"/>
        <v>0</v>
      </c>
      <c r="H1252" s="265">
        <f t="shared" si="264"/>
        <v>0</v>
      </c>
      <c r="I1252" s="265">
        <f t="shared" si="264"/>
        <v>0</v>
      </c>
      <c r="J1252" s="298">
        <f t="shared" si="262"/>
        <v>0</v>
      </c>
      <c r="K1252" s="284" t="s">
        <v>1082</v>
      </c>
      <c r="L1252" s="285"/>
      <c r="M1252" s="263" t="s">
        <v>653</v>
      </c>
      <c r="N1252" s="263" t="s">
        <v>649</v>
      </c>
      <c r="O1252" s="263" t="s">
        <v>653</v>
      </c>
      <c r="P1252" s="286" t="s">
        <v>3862</v>
      </c>
    </row>
    <row r="1253" s="92" customFormat="1" ht="20.1" customHeight="1" spans="1:16">
      <c r="A1253" s="157" t="s">
        <v>3863</v>
      </c>
      <c r="B1253" s="36" t="s">
        <v>3864</v>
      </c>
      <c r="C1253" s="267">
        <v>0</v>
      </c>
      <c r="D1253" s="268">
        <f t="shared" si="252"/>
        <v>0</v>
      </c>
      <c r="E1253" s="267"/>
      <c r="F1253" s="267"/>
      <c r="G1253" s="267"/>
      <c r="H1253" s="267"/>
      <c r="I1253" s="287"/>
      <c r="J1253" s="288">
        <f t="shared" si="262"/>
        <v>0</v>
      </c>
      <c r="K1253" s="276" t="s">
        <v>1087</v>
      </c>
      <c r="L1253" s="33">
        <v>1</v>
      </c>
      <c r="M1253" s="157" t="s">
        <v>3863</v>
      </c>
      <c r="N1253" s="157"/>
      <c r="O1253" s="157" t="s">
        <v>653</v>
      </c>
      <c r="P1253" s="163" t="s">
        <v>3865</v>
      </c>
    </row>
    <row r="1254" s="92" customFormat="1" ht="20.1" customHeight="1" spans="1:16">
      <c r="A1254" s="157" t="s">
        <v>3866</v>
      </c>
      <c r="B1254" s="36" t="s">
        <v>3867</v>
      </c>
      <c r="C1254" s="267">
        <v>0</v>
      </c>
      <c r="D1254" s="268">
        <f t="shared" si="252"/>
        <v>0</v>
      </c>
      <c r="E1254" s="267"/>
      <c r="F1254" s="267"/>
      <c r="G1254" s="267"/>
      <c r="H1254" s="267"/>
      <c r="I1254" s="287"/>
      <c r="J1254" s="288">
        <f t="shared" si="262"/>
        <v>0</v>
      </c>
      <c r="K1254" s="276" t="s">
        <v>1087</v>
      </c>
      <c r="L1254" s="33">
        <v>1</v>
      </c>
      <c r="M1254" s="157" t="s">
        <v>3866</v>
      </c>
      <c r="N1254" s="157"/>
      <c r="O1254" s="157" t="s">
        <v>653</v>
      </c>
      <c r="P1254" s="163" t="s">
        <v>3868</v>
      </c>
    </row>
    <row r="1255" s="92" customFormat="1" ht="20.1" customHeight="1" spans="1:16">
      <c r="A1255" s="157" t="s">
        <v>3869</v>
      </c>
      <c r="B1255" s="36" t="s">
        <v>3870</v>
      </c>
      <c r="C1255" s="267">
        <v>0</v>
      </c>
      <c r="D1255" s="268">
        <f t="shared" si="252"/>
        <v>0</v>
      </c>
      <c r="E1255" s="267"/>
      <c r="F1255" s="267"/>
      <c r="G1255" s="267"/>
      <c r="H1255" s="267"/>
      <c r="I1255" s="287"/>
      <c r="J1255" s="288">
        <f t="shared" si="262"/>
        <v>0</v>
      </c>
      <c r="K1255" s="276" t="s">
        <v>1087</v>
      </c>
      <c r="L1255" s="33">
        <v>1</v>
      </c>
      <c r="M1255" s="157" t="s">
        <v>3869</v>
      </c>
      <c r="N1255" s="157"/>
      <c r="O1255" s="157" t="s">
        <v>653</v>
      </c>
      <c r="P1255" s="163" t="s">
        <v>3871</v>
      </c>
    </row>
    <row r="1256" s="92" customFormat="1" ht="20.1" customHeight="1" spans="1:16">
      <c r="A1256" s="157" t="s">
        <v>3872</v>
      </c>
      <c r="B1256" s="36" t="s">
        <v>3873</v>
      </c>
      <c r="C1256" s="267">
        <v>0</v>
      </c>
      <c r="D1256" s="268">
        <f t="shared" si="252"/>
        <v>0</v>
      </c>
      <c r="E1256" s="267"/>
      <c r="F1256" s="267"/>
      <c r="G1256" s="267"/>
      <c r="H1256" s="267"/>
      <c r="I1256" s="287"/>
      <c r="J1256" s="288">
        <f t="shared" si="262"/>
        <v>0</v>
      </c>
      <c r="K1256" s="276" t="s">
        <v>1087</v>
      </c>
      <c r="L1256" s="33">
        <v>1</v>
      </c>
      <c r="M1256" s="157" t="s">
        <v>3872</v>
      </c>
      <c r="N1256" s="157"/>
      <c r="O1256" s="157" t="s">
        <v>653</v>
      </c>
      <c r="P1256" s="163" t="s">
        <v>3874</v>
      </c>
    </row>
    <row r="1257" s="92" customFormat="1" ht="20.1" customHeight="1" spans="1:16">
      <c r="A1257" s="157" t="s">
        <v>3875</v>
      </c>
      <c r="B1257" s="36" t="s">
        <v>3876</v>
      </c>
      <c r="C1257" s="267">
        <v>0</v>
      </c>
      <c r="D1257" s="268">
        <f t="shared" si="252"/>
        <v>0</v>
      </c>
      <c r="E1257" s="267"/>
      <c r="F1257" s="267"/>
      <c r="G1257" s="267"/>
      <c r="H1257" s="267"/>
      <c r="I1257" s="287"/>
      <c r="J1257" s="288">
        <f t="shared" si="262"/>
        <v>0</v>
      </c>
      <c r="K1257" s="276" t="s">
        <v>1087</v>
      </c>
      <c r="L1257" s="33">
        <v>1</v>
      </c>
      <c r="M1257" s="157" t="s">
        <v>3875</v>
      </c>
      <c r="N1257" s="157"/>
      <c r="O1257" s="157" t="s">
        <v>653</v>
      </c>
      <c r="P1257" s="163" t="s">
        <v>3877</v>
      </c>
    </row>
    <row r="1258" s="92" customFormat="1" ht="20.1" customHeight="1" spans="1:16">
      <c r="A1258" s="157" t="s">
        <v>3878</v>
      </c>
      <c r="B1258" s="36" t="s">
        <v>3879</v>
      </c>
      <c r="C1258" s="267">
        <v>0</v>
      </c>
      <c r="D1258" s="268">
        <f t="shared" si="252"/>
        <v>0</v>
      </c>
      <c r="E1258" s="267"/>
      <c r="F1258" s="267"/>
      <c r="G1258" s="267"/>
      <c r="H1258" s="267"/>
      <c r="I1258" s="287"/>
      <c r="J1258" s="288">
        <f t="shared" si="262"/>
        <v>0</v>
      </c>
      <c r="K1258" s="276" t="s">
        <v>1087</v>
      </c>
      <c r="L1258" s="33">
        <v>1</v>
      </c>
      <c r="M1258" s="157" t="s">
        <v>3878</v>
      </c>
      <c r="N1258" s="157"/>
      <c r="O1258" s="157" t="s">
        <v>653</v>
      </c>
      <c r="P1258" s="163" t="s">
        <v>3880</v>
      </c>
    </row>
    <row r="1259" s="92" customFormat="1" ht="20.1" customHeight="1" spans="1:16">
      <c r="A1259" s="157" t="s">
        <v>3881</v>
      </c>
      <c r="B1259" s="36" t="s">
        <v>3882</v>
      </c>
      <c r="C1259" s="267">
        <v>0</v>
      </c>
      <c r="D1259" s="268">
        <f t="shared" si="252"/>
        <v>0</v>
      </c>
      <c r="E1259" s="267"/>
      <c r="F1259" s="267"/>
      <c r="G1259" s="267"/>
      <c r="H1259" s="267"/>
      <c r="I1259" s="287"/>
      <c r="J1259" s="288">
        <f t="shared" si="262"/>
        <v>0</v>
      </c>
      <c r="K1259" s="276" t="s">
        <v>1087</v>
      </c>
      <c r="L1259" s="33">
        <v>1</v>
      </c>
      <c r="M1259" s="157" t="s">
        <v>3881</v>
      </c>
      <c r="N1259" s="157"/>
      <c r="O1259" s="157" t="s">
        <v>653</v>
      </c>
      <c r="P1259" s="163" t="s">
        <v>3883</v>
      </c>
    </row>
    <row r="1260" s="92" customFormat="1" ht="20.1" customHeight="1" spans="1:16">
      <c r="A1260" s="157" t="s">
        <v>3884</v>
      </c>
      <c r="B1260" s="36" t="s">
        <v>3885</v>
      </c>
      <c r="C1260" s="267">
        <v>0</v>
      </c>
      <c r="D1260" s="268">
        <f t="shared" si="252"/>
        <v>0</v>
      </c>
      <c r="E1260" s="267"/>
      <c r="F1260" s="267"/>
      <c r="G1260" s="267"/>
      <c r="H1260" s="267"/>
      <c r="I1260" s="287"/>
      <c r="J1260" s="288">
        <f t="shared" si="262"/>
        <v>0</v>
      </c>
      <c r="K1260" s="276" t="s">
        <v>1087</v>
      </c>
      <c r="L1260" s="33">
        <v>1</v>
      </c>
      <c r="M1260" s="157" t="s">
        <v>3884</v>
      </c>
      <c r="N1260" s="157"/>
      <c r="O1260" s="157" t="s">
        <v>653</v>
      </c>
      <c r="P1260" s="163" t="s">
        <v>3886</v>
      </c>
    </row>
    <row r="1261" s="92" customFormat="1" ht="20.1" customHeight="1" spans="1:16">
      <c r="A1261" s="157" t="s">
        <v>3887</v>
      </c>
      <c r="B1261" s="36" t="s">
        <v>3888</v>
      </c>
      <c r="C1261" s="267">
        <v>0</v>
      </c>
      <c r="D1261" s="268">
        <f t="shared" si="252"/>
        <v>0</v>
      </c>
      <c r="E1261" s="267"/>
      <c r="F1261" s="267"/>
      <c r="G1261" s="267"/>
      <c r="H1261" s="267"/>
      <c r="I1261" s="287"/>
      <c r="J1261" s="288">
        <f t="shared" si="262"/>
        <v>0</v>
      </c>
      <c r="K1261" s="276" t="s">
        <v>1087</v>
      </c>
      <c r="L1261" s="33">
        <v>1</v>
      </c>
      <c r="M1261" s="157" t="s">
        <v>3887</v>
      </c>
      <c r="N1261" s="157"/>
      <c r="O1261" s="157" t="s">
        <v>653</v>
      </c>
      <c r="P1261" s="163" t="s">
        <v>3889</v>
      </c>
    </row>
    <row r="1262" s="92" customFormat="1" ht="20.1" customHeight="1" spans="1:16">
      <c r="A1262" s="157" t="s">
        <v>3890</v>
      </c>
      <c r="B1262" s="36" t="s">
        <v>3891</v>
      </c>
      <c r="C1262" s="267">
        <v>0</v>
      </c>
      <c r="D1262" s="268">
        <f t="shared" si="252"/>
        <v>0</v>
      </c>
      <c r="E1262" s="267"/>
      <c r="F1262" s="267"/>
      <c r="G1262" s="267"/>
      <c r="H1262" s="267"/>
      <c r="I1262" s="287"/>
      <c r="J1262" s="288">
        <f t="shared" si="262"/>
        <v>0</v>
      </c>
      <c r="K1262" s="276" t="s">
        <v>1087</v>
      </c>
      <c r="L1262" s="33">
        <v>1</v>
      </c>
      <c r="M1262" s="157" t="s">
        <v>3890</v>
      </c>
      <c r="N1262" s="157"/>
      <c r="O1262" s="157" t="s">
        <v>653</v>
      </c>
      <c r="P1262" s="163" t="s">
        <v>3892</v>
      </c>
    </row>
    <row r="1263" s="92" customFormat="1" ht="20.1" customHeight="1" spans="1:16">
      <c r="A1263" s="157" t="s">
        <v>3708</v>
      </c>
      <c r="B1263" s="36" t="s">
        <v>3893</v>
      </c>
      <c r="C1263" s="267"/>
      <c r="D1263" s="268"/>
      <c r="E1263" s="267"/>
      <c r="F1263" s="267"/>
      <c r="G1263" s="267"/>
      <c r="H1263" s="267"/>
      <c r="I1263" s="287"/>
      <c r="J1263" s="288"/>
      <c r="K1263" s="276" t="s">
        <v>1087</v>
      </c>
      <c r="L1263" s="33">
        <v>1</v>
      </c>
      <c r="M1263" s="157" t="s">
        <v>3894</v>
      </c>
      <c r="N1263" s="157"/>
      <c r="O1263" s="157" t="s">
        <v>653</v>
      </c>
      <c r="P1263" s="163" t="s">
        <v>3895</v>
      </c>
    </row>
    <row r="1264" s="92" customFormat="1" ht="20.1" customHeight="1" spans="1:16">
      <c r="A1264" s="157" t="s">
        <v>3896</v>
      </c>
      <c r="B1264" s="36" t="s">
        <v>3897</v>
      </c>
      <c r="C1264" s="267">
        <v>0</v>
      </c>
      <c r="D1264" s="268">
        <f t="shared" ref="D1264:D1317" si="265">SUM(E1264:I1264)</f>
        <v>0</v>
      </c>
      <c r="E1264" s="267"/>
      <c r="F1264" s="267"/>
      <c r="G1264" s="267"/>
      <c r="H1264" s="267"/>
      <c r="I1264" s="287"/>
      <c r="J1264" s="288">
        <f t="shared" ref="J1264:J1281" si="266">ROUND(IF(C1264=0,IF(D1264=0,0,1),IF(D1264=0,-1,D1264/C1264)),4)*100</f>
        <v>0</v>
      </c>
      <c r="K1264" s="276" t="s">
        <v>1087</v>
      </c>
      <c r="L1264" s="33">
        <v>1</v>
      </c>
      <c r="M1264" s="157" t="s">
        <v>3896</v>
      </c>
      <c r="N1264" s="157"/>
      <c r="O1264" s="157" t="s">
        <v>653</v>
      </c>
      <c r="P1264" s="163" t="s">
        <v>3898</v>
      </c>
    </row>
    <row r="1265" s="93" customFormat="1" ht="20.1" customHeight="1" spans="1:16">
      <c r="A1265" s="154" t="s">
        <v>654</v>
      </c>
      <c r="B1265" s="261" t="s">
        <v>410</v>
      </c>
      <c r="C1265" s="262">
        <f t="shared" ref="C1265:I1265" si="267">C1266+C1277+C1284+C1292+C1305+C1309+C1313</f>
        <v>2461</v>
      </c>
      <c r="D1265" s="262">
        <f t="shared" si="265"/>
        <v>3285</v>
      </c>
      <c r="E1265" s="262">
        <f t="shared" si="267"/>
        <v>0</v>
      </c>
      <c r="F1265" s="262">
        <f t="shared" si="267"/>
        <v>60</v>
      </c>
      <c r="G1265" s="262">
        <f t="shared" si="267"/>
        <v>1850</v>
      </c>
      <c r="H1265" s="262">
        <f t="shared" si="267"/>
        <v>0</v>
      </c>
      <c r="I1265" s="262">
        <f t="shared" si="267"/>
        <v>1375</v>
      </c>
      <c r="J1265" s="279">
        <f t="shared" si="266"/>
        <v>133.48</v>
      </c>
      <c r="K1265" s="280" t="s">
        <v>1081</v>
      </c>
      <c r="L1265" s="281"/>
      <c r="M1265" s="154" t="s">
        <v>654</v>
      </c>
      <c r="N1265" s="154" t="s">
        <v>654</v>
      </c>
      <c r="O1265" s="154" t="s">
        <v>654</v>
      </c>
      <c r="P1265" s="282" t="s">
        <v>3899</v>
      </c>
    </row>
    <row r="1266" s="93" customFormat="1" ht="20.1" customHeight="1" spans="1:16">
      <c r="A1266" s="263" t="s">
        <v>655</v>
      </c>
      <c r="B1266" s="297" t="s">
        <v>3900</v>
      </c>
      <c r="C1266" s="265">
        <f t="shared" ref="C1266:I1266" si="268">SUM(C1267:C1276)</f>
        <v>410</v>
      </c>
      <c r="D1266" s="265">
        <f t="shared" si="265"/>
        <v>467</v>
      </c>
      <c r="E1266" s="265">
        <f t="shared" si="268"/>
        <v>0</v>
      </c>
      <c r="F1266" s="265">
        <f t="shared" si="268"/>
        <v>0</v>
      </c>
      <c r="G1266" s="265">
        <f t="shared" si="268"/>
        <v>0</v>
      </c>
      <c r="H1266" s="265">
        <f t="shared" si="268"/>
        <v>0</v>
      </c>
      <c r="I1266" s="265">
        <f t="shared" si="268"/>
        <v>467</v>
      </c>
      <c r="J1266" s="298">
        <f t="shared" si="266"/>
        <v>113.9</v>
      </c>
      <c r="K1266" s="284" t="s">
        <v>1082</v>
      </c>
      <c r="L1266" s="285"/>
      <c r="M1266" s="263" t="s">
        <v>655</v>
      </c>
      <c r="N1266" s="263" t="s">
        <v>654</v>
      </c>
      <c r="O1266" s="263" t="s">
        <v>655</v>
      </c>
      <c r="P1266" s="286" t="s">
        <v>3901</v>
      </c>
    </row>
    <row r="1267" s="92" customFormat="1" ht="20.1" customHeight="1" spans="1:16">
      <c r="A1267" s="181" t="s">
        <v>3902</v>
      </c>
      <c r="B1267" s="36" t="s">
        <v>1086</v>
      </c>
      <c r="C1267" s="320">
        <v>398</v>
      </c>
      <c r="D1267" s="268">
        <f t="shared" si="265"/>
        <v>326</v>
      </c>
      <c r="E1267" s="267"/>
      <c r="F1267" s="267"/>
      <c r="G1267" s="267"/>
      <c r="H1267" s="267"/>
      <c r="I1267" s="287">
        <v>326</v>
      </c>
      <c r="J1267" s="288">
        <f t="shared" si="266"/>
        <v>81.91</v>
      </c>
      <c r="K1267" s="276" t="s">
        <v>1087</v>
      </c>
      <c r="L1267" s="33">
        <v>1</v>
      </c>
      <c r="M1267" s="181" t="s">
        <v>3902</v>
      </c>
      <c r="N1267" s="157"/>
      <c r="O1267" s="181" t="s">
        <v>655</v>
      </c>
      <c r="P1267" s="164" t="s">
        <v>1088</v>
      </c>
    </row>
    <row r="1268" s="92" customFormat="1" ht="20.1" customHeight="1" spans="1:16">
      <c r="A1268" s="181" t="s">
        <v>3903</v>
      </c>
      <c r="B1268" s="36" t="s">
        <v>1090</v>
      </c>
      <c r="C1268" s="320">
        <v>7</v>
      </c>
      <c r="D1268" s="268">
        <f t="shared" si="265"/>
        <v>135</v>
      </c>
      <c r="E1268" s="267"/>
      <c r="F1268" s="267"/>
      <c r="G1268" s="267"/>
      <c r="H1268" s="267"/>
      <c r="I1268" s="287">
        <v>135</v>
      </c>
      <c r="J1268" s="288">
        <f t="shared" si="266"/>
        <v>1928.57</v>
      </c>
      <c r="K1268" s="276" t="s">
        <v>1087</v>
      </c>
      <c r="L1268" s="33">
        <v>1</v>
      </c>
      <c r="M1268" s="181" t="s">
        <v>3903</v>
      </c>
      <c r="N1268" s="157"/>
      <c r="O1268" s="181" t="s">
        <v>655</v>
      </c>
      <c r="P1268" s="164" t="s">
        <v>1091</v>
      </c>
    </row>
    <row r="1269" s="92" customFormat="1" ht="20.1" customHeight="1" spans="1:16">
      <c r="A1269" s="181" t="s">
        <v>3904</v>
      </c>
      <c r="B1269" s="36" t="s">
        <v>1093</v>
      </c>
      <c r="C1269" s="320"/>
      <c r="D1269" s="268">
        <f t="shared" si="265"/>
        <v>0</v>
      </c>
      <c r="E1269" s="267"/>
      <c r="F1269" s="267"/>
      <c r="G1269" s="267"/>
      <c r="H1269" s="267"/>
      <c r="I1269" s="287"/>
      <c r="J1269" s="288">
        <f t="shared" si="266"/>
        <v>0</v>
      </c>
      <c r="K1269" s="276" t="s">
        <v>1087</v>
      </c>
      <c r="L1269" s="33">
        <v>1</v>
      </c>
      <c r="M1269" s="181" t="s">
        <v>3904</v>
      </c>
      <c r="N1269" s="157"/>
      <c r="O1269" s="181" t="s">
        <v>655</v>
      </c>
      <c r="P1269" s="164" t="s">
        <v>1094</v>
      </c>
    </row>
    <row r="1270" s="92" customFormat="1" ht="20.1" customHeight="1" spans="1:16">
      <c r="A1270" s="181" t="s">
        <v>3905</v>
      </c>
      <c r="B1270" s="36" t="s">
        <v>3906</v>
      </c>
      <c r="C1270" s="320"/>
      <c r="D1270" s="268">
        <f t="shared" si="265"/>
        <v>0</v>
      </c>
      <c r="E1270" s="267"/>
      <c r="F1270" s="267"/>
      <c r="G1270" s="267"/>
      <c r="H1270" s="267"/>
      <c r="I1270" s="287"/>
      <c r="J1270" s="288">
        <f t="shared" si="266"/>
        <v>0</v>
      </c>
      <c r="K1270" s="276" t="s">
        <v>1087</v>
      </c>
      <c r="L1270" s="33">
        <v>1</v>
      </c>
      <c r="M1270" s="181" t="s">
        <v>3905</v>
      </c>
      <c r="N1270" s="157"/>
      <c r="O1270" s="181" t="s">
        <v>655</v>
      </c>
      <c r="P1270" s="164" t="s">
        <v>3907</v>
      </c>
    </row>
    <row r="1271" s="92" customFormat="1" ht="20.1" customHeight="1" spans="1:16">
      <c r="A1271" s="181" t="s">
        <v>3908</v>
      </c>
      <c r="B1271" s="36" t="s">
        <v>3909</v>
      </c>
      <c r="C1271" s="320"/>
      <c r="D1271" s="268">
        <f t="shared" si="265"/>
        <v>0</v>
      </c>
      <c r="E1271" s="267"/>
      <c r="F1271" s="267"/>
      <c r="G1271" s="267"/>
      <c r="H1271" s="267"/>
      <c r="I1271" s="287"/>
      <c r="J1271" s="288">
        <f t="shared" si="266"/>
        <v>0</v>
      </c>
      <c r="K1271" s="276" t="s">
        <v>1087</v>
      </c>
      <c r="L1271" s="33">
        <v>1</v>
      </c>
      <c r="M1271" s="181" t="s">
        <v>3908</v>
      </c>
      <c r="N1271" s="157"/>
      <c r="O1271" s="181" t="s">
        <v>655</v>
      </c>
      <c r="P1271" s="164" t="s">
        <v>3910</v>
      </c>
    </row>
    <row r="1272" s="92" customFormat="1" ht="20.1" customHeight="1" spans="1:16">
      <c r="A1272" s="181" t="s">
        <v>3911</v>
      </c>
      <c r="B1272" s="36" t="s">
        <v>3912</v>
      </c>
      <c r="C1272" s="320"/>
      <c r="D1272" s="268">
        <f t="shared" si="265"/>
        <v>0</v>
      </c>
      <c r="E1272" s="267"/>
      <c r="F1272" s="267"/>
      <c r="G1272" s="267"/>
      <c r="H1272" s="267"/>
      <c r="I1272" s="287"/>
      <c r="J1272" s="288">
        <f t="shared" si="266"/>
        <v>0</v>
      </c>
      <c r="K1272" s="276" t="s">
        <v>1087</v>
      </c>
      <c r="L1272" s="33">
        <v>1</v>
      </c>
      <c r="M1272" s="181" t="s">
        <v>3911</v>
      </c>
      <c r="N1272" s="157"/>
      <c r="O1272" s="181" t="s">
        <v>655</v>
      </c>
      <c r="P1272" s="164" t="s">
        <v>3913</v>
      </c>
    </row>
    <row r="1273" s="92" customFormat="1" ht="20.1" customHeight="1" spans="1:16">
      <c r="A1273" s="181" t="s">
        <v>3914</v>
      </c>
      <c r="B1273" s="36" t="s">
        <v>3915</v>
      </c>
      <c r="C1273" s="320">
        <v>2</v>
      </c>
      <c r="D1273" s="268">
        <f t="shared" si="265"/>
        <v>0</v>
      </c>
      <c r="E1273" s="267"/>
      <c r="F1273" s="267"/>
      <c r="G1273" s="267"/>
      <c r="H1273" s="267"/>
      <c r="I1273" s="287"/>
      <c r="J1273" s="288">
        <f t="shared" si="266"/>
        <v>-100</v>
      </c>
      <c r="K1273" s="276" t="s">
        <v>1087</v>
      </c>
      <c r="L1273" s="33">
        <v>1</v>
      </c>
      <c r="M1273" s="181" t="s">
        <v>3914</v>
      </c>
      <c r="N1273" s="157"/>
      <c r="O1273" s="181" t="s">
        <v>655</v>
      </c>
      <c r="P1273" s="164" t="s">
        <v>3916</v>
      </c>
    </row>
    <row r="1274" s="92" customFormat="1" ht="20.1" customHeight="1" spans="1:16">
      <c r="A1274" s="181" t="s">
        <v>3917</v>
      </c>
      <c r="B1274" s="36" t="s">
        <v>3918</v>
      </c>
      <c r="C1274" s="320"/>
      <c r="D1274" s="268">
        <f t="shared" si="265"/>
        <v>0</v>
      </c>
      <c r="E1274" s="267"/>
      <c r="F1274" s="267"/>
      <c r="G1274" s="267"/>
      <c r="H1274" s="267"/>
      <c r="I1274" s="287"/>
      <c r="J1274" s="288">
        <f t="shared" si="266"/>
        <v>0</v>
      </c>
      <c r="K1274" s="276" t="s">
        <v>1087</v>
      </c>
      <c r="L1274" s="33">
        <v>1</v>
      </c>
      <c r="M1274" s="181" t="s">
        <v>3917</v>
      </c>
      <c r="N1274" s="157"/>
      <c r="O1274" s="181" t="s">
        <v>655</v>
      </c>
      <c r="P1274" s="164" t="s">
        <v>3919</v>
      </c>
    </row>
    <row r="1275" s="92" customFormat="1" ht="20.1" customHeight="1" spans="1:16">
      <c r="A1275" s="181" t="s">
        <v>3920</v>
      </c>
      <c r="B1275" s="36" t="s">
        <v>1114</v>
      </c>
      <c r="C1275" s="320"/>
      <c r="D1275" s="268">
        <f t="shared" si="265"/>
        <v>6</v>
      </c>
      <c r="E1275" s="267"/>
      <c r="F1275" s="267"/>
      <c r="G1275" s="267"/>
      <c r="H1275" s="267"/>
      <c r="I1275" s="287">
        <v>6</v>
      </c>
      <c r="J1275" s="288">
        <f t="shared" si="266"/>
        <v>100</v>
      </c>
      <c r="K1275" s="276" t="s">
        <v>1087</v>
      </c>
      <c r="L1275" s="33">
        <v>1</v>
      </c>
      <c r="M1275" s="181" t="s">
        <v>3920</v>
      </c>
      <c r="N1275" s="157"/>
      <c r="O1275" s="181" t="s">
        <v>655</v>
      </c>
      <c r="P1275" s="164" t="s">
        <v>1115</v>
      </c>
    </row>
    <row r="1276" s="92" customFormat="1" ht="20.1" customHeight="1" spans="1:16">
      <c r="A1276" s="181" t="s">
        <v>3921</v>
      </c>
      <c r="B1276" s="36" t="s">
        <v>3922</v>
      </c>
      <c r="C1276" s="320">
        <v>3</v>
      </c>
      <c r="D1276" s="268">
        <f t="shared" si="265"/>
        <v>0</v>
      </c>
      <c r="E1276" s="267"/>
      <c r="F1276" s="267"/>
      <c r="G1276" s="267"/>
      <c r="H1276" s="267"/>
      <c r="I1276" s="287"/>
      <c r="J1276" s="288">
        <f t="shared" si="266"/>
        <v>-100</v>
      </c>
      <c r="K1276" s="276" t="s">
        <v>1087</v>
      </c>
      <c r="L1276" s="33">
        <v>1</v>
      </c>
      <c r="M1276" s="181" t="s">
        <v>3921</v>
      </c>
      <c r="N1276" s="157"/>
      <c r="O1276" s="181" t="s">
        <v>655</v>
      </c>
      <c r="P1276" s="164" t="s">
        <v>3923</v>
      </c>
    </row>
    <row r="1277" s="93" customFormat="1" ht="20.1" customHeight="1" spans="1:16">
      <c r="A1277" s="263" t="s">
        <v>656</v>
      </c>
      <c r="B1277" s="297" t="s">
        <v>3924</v>
      </c>
      <c r="C1277" s="265">
        <f t="shared" ref="C1277:I1277" si="269">SUM(C1278:C1283)</f>
        <v>679</v>
      </c>
      <c r="D1277" s="265">
        <f t="shared" si="265"/>
        <v>908</v>
      </c>
      <c r="E1277" s="265">
        <f t="shared" si="269"/>
        <v>0</v>
      </c>
      <c r="F1277" s="265">
        <f t="shared" si="269"/>
        <v>0</v>
      </c>
      <c r="G1277" s="265">
        <f t="shared" si="269"/>
        <v>0</v>
      </c>
      <c r="H1277" s="265">
        <f t="shared" si="269"/>
        <v>0</v>
      </c>
      <c r="I1277" s="265">
        <f t="shared" si="269"/>
        <v>908</v>
      </c>
      <c r="J1277" s="298">
        <f t="shared" si="266"/>
        <v>133.73</v>
      </c>
      <c r="K1277" s="284" t="s">
        <v>1082</v>
      </c>
      <c r="L1277" s="285"/>
      <c r="M1277" s="263" t="s">
        <v>656</v>
      </c>
      <c r="N1277" s="263" t="s">
        <v>654</v>
      </c>
      <c r="O1277" s="263" t="s">
        <v>656</v>
      </c>
      <c r="P1277" s="286" t="s">
        <v>3925</v>
      </c>
    </row>
    <row r="1278" s="92" customFormat="1" ht="20.1" customHeight="1" spans="1:16">
      <c r="A1278" s="181" t="s">
        <v>3926</v>
      </c>
      <c r="B1278" s="36" t="s">
        <v>1086</v>
      </c>
      <c r="C1278" s="267"/>
      <c r="D1278" s="268">
        <f t="shared" si="265"/>
        <v>0</v>
      </c>
      <c r="E1278" s="267"/>
      <c r="F1278" s="267"/>
      <c r="G1278" s="267"/>
      <c r="H1278" s="267"/>
      <c r="I1278" s="287"/>
      <c r="J1278" s="288">
        <f t="shared" si="266"/>
        <v>0</v>
      </c>
      <c r="K1278" s="276" t="s">
        <v>1087</v>
      </c>
      <c r="L1278" s="33">
        <v>1</v>
      </c>
      <c r="M1278" s="181" t="s">
        <v>3926</v>
      </c>
      <c r="N1278" s="157"/>
      <c r="O1278" s="181" t="s">
        <v>656</v>
      </c>
      <c r="P1278" s="164" t="s">
        <v>1088</v>
      </c>
    </row>
    <row r="1279" s="92" customFormat="1" ht="20.1" customHeight="1" spans="1:16">
      <c r="A1279" s="181" t="s">
        <v>3927</v>
      </c>
      <c r="B1279" s="36" t="s">
        <v>1090</v>
      </c>
      <c r="C1279" s="267"/>
      <c r="D1279" s="268">
        <f t="shared" si="265"/>
        <v>0</v>
      </c>
      <c r="E1279" s="267"/>
      <c r="F1279" s="267"/>
      <c r="G1279" s="267"/>
      <c r="H1279" s="267"/>
      <c r="I1279" s="287"/>
      <c r="J1279" s="288">
        <f t="shared" si="266"/>
        <v>0</v>
      </c>
      <c r="K1279" s="276" t="s">
        <v>1087</v>
      </c>
      <c r="L1279" s="33">
        <v>1</v>
      </c>
      <c r="M1279" s="181" t="s">
        <v>3927</v>
      </c>
      <c r="N1279" s="157"/>
      <c r="O1279" s="181" t="s">
        <v>656</v>
      </c>
      <c r="P1279" s="164" t="s">
        <v>1091</v>
      </c>
    </row>
    <row r="1280" s="92" customFormat="1" ht="20.1" customHeight="1" spans="1:16">
      <c r="A1280" s="181" t="s">
        <v>3928</v>
      </c>
      <c r="B1280" s="36" t="s">
        <v>1093</v>
      </c>
      <c r="C1280" s="267"/>
      <c r="D1280" s="268">
        <f t="shared" si="265"/>
        <v>0</v>
      </c>
      <c r="E1280" s="267"/>
      <c r="F1280" s="267"/>
      <c r="G1280" s="267"/>
      <c r="H1280" s="267"/>
      <c r="I1280" s="287"/>
      <c r="J1280" s="288">
        <f t="shared" si="266"/>
        <v>0</v>
      </c>
      <c r="K1280" s="276" t="s">
        <v>1087</v>
      </c>
      <c r="L1280" s="33">
        <v>1</v>
      </c>
      <c r="M1280" s="181" t="s">
        <v>3928</v>
      </c>
      <c r="N1280" s="157"/>
      <c r="O1280" s="181" t="s">
        <v>656</v>
      </c>
      <c r="P1280" s="164" t="s">
        <v>1094</v>
      </c>
    </row>
    <row r="1281" s="92" customFormat="1" ht="20.1" customHeight="1" spans="1:16">
      <c r="A1281" s="181" t="s">
        <v>3929</v>
      </c>
      <c r="B1281" s="36" t="s">
        <v>3930</v>
      </c>
      <c r="C1281" s="267">
        <v>675</v>
      </c>
      <c r="D1281" s="268">
        <f t="shared" si="265"/>
        <v>908</v>
      </c>
      <c r="E1281" s="267"/>
      <c r="F1281" s="267"/>
      <c r="G1281" s="267"/>
      <c r="H1281" s="267"/>
      <c r="I1281" s="287">
        <v>908</v>
      </c>
      <c r="J1281" s="288">
        <f t="shared" si="266"/>
        <v>134.52</v>
      </c>
      <c r="K1281" s="276" t="s">
        <v>1087</v>
      </c>
      <c r="L1281" s="33">
        <v>1</v>
      </c>
      <c r="M1281" s="181" t="s">
        <v>3929</v>
      </c>
      <c r="N1281" s="157"/>
      <c r="O1281" s="181" t="s">
        <v>656</v>
      </c>
      <c r="P1281" s="164" t="s">
        <v>3931</v>
      </c>
    </row>
    <row r="1282" s="92" customFormat="1" ht="20.1" customHeight="1" spans="1:16">
      <c r="A1282" s="181" t="s">
        <v>3932</v>
      </c>
      <c r="B1282" s="36" t="s">
        <v>1114</v>
      </c>
      <c r="C1282" s="267"/>
      <c r="D1282" s="268">
        <f t="shared" si="265"/>
        <v>0</v>
      </c>
      <c r="E1282" s="267"/>
      <c r="F1282" s="267"/>
      <c r="G1282" s="267"/>
      <c r="H1282" s="267"/>
      <c r="I1282" s="287"/>
      <c r="J1282" s="288"/>
      <c r="K1282" s="276" t="s">
        <v>1087</v>
      </c>
      <c r="L1282" s="33">
        <v>2</v>
      </c>
      <c r="M1282" s="181" t="s">
        <v>3932</v>
      </c>
      <c r="N1282" s="157"/>
      <c r="O1282" s="181" t="s">
        <v>656</v>
      </c>
      <c r="P1282" s="164" t="s">
        <v>1115</v>
      </c>
    </row>
    <row r="1283" s="92" customFormat="1" ht="20.1" customHeight="1" spans="1:16">
      <c r="A1283" s="181" t="s">
        <v>3933</v>
      </c>
      <c r="B1283" s="36" t="s">
        <v>3934</v>
      </c>
      <c r="C1283" s="267">
        <v>4</v>
      </c>
      <c r="D1283" s="268">
        <f t="shared" si="265"/>
        <v>0</v>
      </c>
      <c r="E1283" s="267"/>
      <c r="F1283" s="267"/>
      <c r="G1283" s="267"/>
      <c r="H1283" s="267"/>
      <c r="I1283" s="287"/>
      <c r="J1283" s="288">
        <f t="shared" ref="J1283:J1313" si="270">ROUND(IF(C1283=0,IF(D1283=0,0,1),IF(D1283=0,-1,D1283/C1283)),4)*100</f>
        <v>-100</v>
      </c>
      <c r="K1283" s="276" t="s">
        <v>1087</v>
      </c>
      <c r="L1283" s="33">
        <v>1</v>
      </c>
      <c r="M1283" s="181" t="s">
        <v>3933</v>
      </c>
      <c r="N1283" s="157"/>
      <c r="O1283" s="181" t="s">
        <v>656</v>
      </c>
      <c r="P1283" s="164" t="s">
        <v>3935</v>
      </c>
    </row>
    <row r="1284" s="93" customFormat="1" ht="20.1" customHeight="1" spans="1:16">
      <c r="A1284" s="263" t="s">
        <v>658</v>
      </c>
      <c r="B1284" s="297" t="s">
        <v>3936</v>
      </c>
      <c r="C1284" s="265">
        <f t="shared" ref="C1284:I1284" si="271">SUM(C1285:C1291)</f>
        <v>0</v>
      </c>
      <c r="D1284" s="265">
        <f t="shared" si="265"/>
        <v>0</v>
      </c>
      <c r="E1284" s="265">
        <f t="shared" si="271"/>
        <v>0</v>
      </c>
      <c r="F1284" s="265">
        <f t="shared" si="271"/>
        <v>0</v>
      </c>
      <c r="G1284" s="265">
        <f t="shared" si="271"/>
        <v>0</v>
      </c>
      <c r="H1284" s="265">
        <f t="shared" si="271"/>
        <v>0</v>
      </c>
      <c r="I1284" s="265">
        <f t="shared" si="271"/>
        <v>0</v>
      </c>
      <c r="J1284" s="298">
        <f t="shared" si="270"/>
        <v>0</v>
      </c>
      <c r="K1284" s="284" t="s">
        <v>1082</v>
      </c>
      <c r="L1284" s="285"/>
      <c r="M1284" s="263" t="s">
        <v>658</v>
      </c>
      <c r="N1284" s="263" t="s">
        <v>654</v>
      </c>
      <c r="O1284" s="263" t="s">
        <v>658</v>
      </c>
      <c r="P1284" s="286" t="s">
        <v>3937</v>
      </c>
    </row>
    <row r="1285" s="92" customFormat="1" ht="20.1" customHeight="1" spans="1:16">
      <c r="A1285" s="181" t="s">
        <v>3938</v>
      </c>
      <c r="B1285" s="36" t="s">
        <v>1086</v>
      </c>
      <c r="C1285" s="267">
        <v>0</v>
      </c>
      <c r="D1285" s="268">
        <f t="shared" si="265"/>
        <v>0</v>
      </c>
      <c r="E1285" s="267"/>
      <c r="F1285" s="267"/>
      <c r="G1285" s="267"/>
      <c r="H1285" s="267"/>
      <c r="I1285" s="287"/>
      <c r="J1285" s="288">
        <f t="shared" si="270"/>
        <v>0</v>
      </c>
      <c r="K1285" s="276" t="s">
        <v>1087</v>
      </c>
      <c r="L1285" s="33">
        <v>1</v>
      </c>
      <c r="M1285" s="181" t="s">
        <v>3938</v>
      </c>
      <c r="N1285" s="157"/>
      <c r="O1285" s="181" t="s">
        <v>658</v>
      </c>
      <c r="P1285" s="164" t="s">
        <v>1088</v>
      </c>
    </row>
    <row r="1286" s="92" customFormat="1" ht="20.1" customHeight="1" spans="1:16">
      <c r="A1286" s="181" t="s">
        <v>3939</v>
      </c>
      <c r="B1286" s="36" t="s">
        <v>1090</v>
      </c>
      <c r="C1286" s="267">
        <v>0</v>
      </c>
      <c r="D1286" s="268">
        <f t="shared" si="265"/>
        <v>0</v>
      </c>
      <c r="E1286" s="267"/>
      <c r="F1286" s="267"/>
      <c r="G1286" s="267"/>
      <c r="H1286" s="267"/>
      <c r="I1286" s="287"/>
      <c r="J1286" s="288">
        <f t="shared" si="270"/>
        <v>0</v>
      </c>
      <c r="K1286" s="276" t="s">
        <v>1087</v>
      </c>
      <c r="L1286" s="33">
        <v>1</v>
      </c>
      <c r="M1286" s="181" t="s">
        <v>3939</v>
      </c>
      <c r="N1286" s="157"/>
      <c r="O1286" s="181" t="s">
        <v>658</v>
      </c>
      <c r="P1286" s="164" t="s">
        <v>1091</v>
      </c>
    </row>
    <row r="1287" s="92" customFormat="1" ht="20.1" customHeight="1" spans="1:16">
      <c r="A1287" s="181" t="s">
        <v>3940</v>
      </c>
      <c r="B1287" s="36" t="s">
        <v>1093</v>
      </c>
      <c r="C1287" s="267">
        <v>0</v>
      </c>
      <c r="D1287" s="268">
        <f t="shared" si="265"/>
        <v>0</v>
      </c>
      <c r="E1287" s="267"/>
      <c r="F1287" s="267"/>
      <c r="G1287" s="267"/>
      <c r="H1287" s="267"/>
      <c r="I1287" s="287"/>
      <c r="J1287" s="288">
        <f t="shared" si="270"/>
        <v>0</v>
      </c>
      <c r="K1287" s="276" t="s">
        <v>1087</v>
      </c>
      <c r="L1287" s="33">
        <v>1</v>
      </c>
      <c r="M1287" s="181" t="s">
        <v>3940</v>
      </c>
      <c r="N1287" s="157"/>
      <c r="O1287" s="181" t="s">
        <v>658</v>
      </c>
      <c r="P1287" s="164" t="s">
        <v>1094</v>
      </c>
    </row>
    <row r="1288" s="92" customFormat="1" ht="20.1" customHeight="1" spans="1:16">
      <c r="A1288" s="181" t="s">
        <v>3941</v>
      </c>
      <c r="B1288" s="36" t="s">
        <v>3942</v>
      </c>
      <c r="C1288" s="267">
        <v>0</v>
      </c>
      <c r="D1288" s="268">
        <f t="shared" si="265"/>
        <v>0</v>
      </c>
      <c r="E1288" s="267"/>
      <c r="F1288" s="267"/>
      <c r="G1288" s="267"/>
      <c r="H1288" s="267"/>
      <c r="I1288" s="287"/>
      <c r="J1288" s="288">
        <f t="shared" si="270"/>
        <v>0</v>
      </c>
      <c r="K1288" s="276" t="s">
        <v>1087</v>
      </c>
      <c r="L1288" s="33">
        <v>1</v>
      </c>
      <c r="M1288" s="181" t="s">
        <v>3941</v>
      </c>
      <c r="N1288" s="157"/>
      <c r="O1288" s="181" t="s">
        <v>658</v>
      </c>
      <c r="P1288" s="36" t="s">
        <v>3943</v>
      </c>
    </row>
    <row r="1289" s="92" customFormat="1" ht="20.1" customHeight="1" spans="1:16">
      <c r="A1289" s="181" t="s">
        <v>3944</v>
      </c>
      <c r="B1289" s="36" t="s">
        <v>3945</v>
      </c>
      <c r="C1289" s="267">
        <v>0</v>
      </c>
      <c r="D1289" s="268">
        <f t="shared" si="265"/>
        <v>0</v>
      </c>
      <c r="E1289" s="267"/>
      <c r="F1289" s="267"/>
      <c r="G1289" s="267"/>
      <c r="H1289" s="267"/>
      <c r="I1289" s="287"/>
      <c r="J1289" s="288">
        <f t="shared" si="270"/>
        <v>0</v>
      </c>
      <c r="K1289" s="276" t="s">
        <v>1087</v>
      </c>
      <c r="L1289" s="33">
        <v>1</v>
      </c>
      <c r="M1289" s="181" t="s">
        <v>3944</v>
      </c>
      <c r="N1289" s="157"/>
      <c r="O1289" s="181" t="s">
        <v>658</v>
      </c>
      <c r="P1289" s="36" t="s">
        <v>3946</v>
      </c>
    </row>
    <row r="1290" s="92" customFormat="1" ht="20.1" customHeight="1" spans="1:16">
      <c r="A1290" s="181" t="s">
        <v>3947</v>
      </c>
      <c r="B1290" s="36" t="s">
        <v>1114</v>
      </c>
      <c r="C1290" s="267">
        <v>0</v>
      </c>
      <c r="D1290" s="268">
        <f t="shared" si="265"/>
        <v>0</v>
      </c>
      <c r="E1290" s="267"/>
      <c r="F1290" s="267"/>
      <c r="G1290" s="267"/>
      <c r="H1290" s="267"/>
      <c r="I1290" s="287"/>
      <c r="J1290" s="288">
        <f t="shared" si="270"/>
        <v>0</v>
      </c>
      <c r="K1290" s="276" t="s">
        <v>1087</v>
      </c>
      <c r="L1290" s="33">
        <v>1</v>
      </c>
      <c r="M1290" s="181" t="s">
        <v>3947</v>
      </c>
      <c r="N1290" s="157"/>
      <c r="O1290" s="181" t="s">
        <v>658</v>
      </c>
      <c r="P1290" s="36" t="s">
        <v>1115</v>
      </c>
    </row>
    <row r="1291" s="92" customFormat="1" ht="20.1" customHeight="1" spans="1:16">
      <c r="A1291" s="181" t="s">
        <v>3948</v>
      </c>
      <c r="B1291" s="36" t="s">
        <v>3949</v>
      </c>
      <c r="C1291" s="267">
        <v>0</v>
      </c>
      <c r="D1291" s="268">
        <f t="shared" si="265"/>
        <v>0</v>
      </c>
      <c r="E1291" s="267"/>
      <c r="F1291" s="267"/>
      <c r="G1291" s="267"/>
      <c r="H1291" s="267"/>
      <c r="I1291" s="287"/>
      <c r="J1291" s="288">
        <f t="shared" si="270"/>
        <v>0</v>
      </c>
      <c r="K1291" s="276" t="s">
        <v>1087</v>
      </c>
      <c r="L1291" s="33">
        <v>1</v>
      </c>
      <c r="M1291" s="181" t="s">
        <v>3948</v>
      </c>
      <c r="N1291" s="157"/>
      <c r="O1291" s="181" t="s">
        <v>658</v>
      </c>
      <c r="P1291" s="36" t="s">
        <v>3950</v>
      </c>
    </row>
    <row r="1292" s="93" customFormat="1" ht="20.1" customHeight="1" spans="1:16">
      <c r="A1292" s="263" t="s">
        <v>659</v>
      </c>
      <c r="B1292" s="297" t="s">
        <v>3951</v>
      </c>
      <c r="C1292" s="265">
        <f t="shared" ref="C1292:I1292" si="272">SUM(C1293:C1304)</f>
        <v>0</v>
      </c>
      <c r="D1292" s="265">
        <f t="shared" si="265"/>
        <v>0</v>
      </c>
      <c r="E1292" s="265">
        <f t="shared" si="272"/>
        <v>0</v>
      </c>
      <c r="F1292" s="265">
        <f t="shared" si="272"/>
        <v>0</v>
      </c>
      <c r="G1292" s="265">
        <f t="shared" si="272"/>
        <v>0</v>
      </c>
      <c r="H1292" s="265">
        <f t="shared" si="272"/>
        <v>0</v>
      </c>
      <c r="I1292" s="265">
        <f t="shared" si="272"/>
        <v>0</v>
      </c>
      <c r="J1292" s="298">
        <f t="shared" si="270"/>
        <v>0</v>
      </c>
      <c r="K1292" s="284" t="s">
        <v>1082</v>
      </c>
      <c r="L1292" s="285"/>
      <c r="M1292" s="263" t="s">
        <v>659</v>
      </c>
      <c r="N1292" s="263" t="s">
        <v>654</v>
      </c>
      <c r="O1292" s="263" t="s">
        <v>659</v>
      </c>
      <c r="P1292" s="286" t="s">
        <v>3952</v>
      </c>
    </row>
    <row r="1293" s="92" customFormat="1" ht="20.1" customHeight="1" spans="1:16">
      <c r="A1293" s="181" t="s">
        <v>3953</v>
      </c>
      <c r="B1293" s="36" t="s">
        <v>1086</v>
      </c>
      <c r="C1293" s="267">
        <v>0</v>
      </c>
      <c r="D1293" s="268">
        <f t="shared" si="265"/>
        <v>0</v>
      </c>
      <c r="E1293" s="267"/>
      <c r="F1293" s="267"/>
      <c r="G1293" s="267"/>
      <c r="H1293" s="267"/>
      <c r="I1293" s="287"/>
      <c r="J1293" s="288">
        <f t="shared" si="270"/>
        <v>0</v>
      </c>
      <c r="K1293" s="276" t="s">
        <v>1087</v>
      </c>
      <c r="L1293" s="33">
        <v>1</v>
      </c>
      <c r="M1293" s="181" t="s">
        <v>3953</v>
      </c>
      <c r="N1293" s="157"/>
      <c r="O1293" s="181" t="s">
        <v>659</v>
      </c>
      <c r="P1293" s="164" t="s">
        <v>1088</v>
      </c>
    </row>
    <row r="1294" s="92" customFormat="1" ht="20.1" customHeight="1" spans="1:16">
      <c r="A1294" s="181" t="s">
        <v>3954</v>
      </c>
      <c r="B1294" s="36" t="s">
        <v>1090</v>
      </c>
      <c r="C1294" s="267">
        <v>0</v>
      </c>
      <c r="D1294" s="268">
        <f t="shared" si="265"/>
        <v>0</v>
      </c>
      <c r="E1294" s="267"/>
      <c r="F1294" s="267"/>
      <c r="G1294" s="267"/>
      <c r="H1294" s="267"/>
      <c r="I1294" s="287"/>
      <c r="J1294" s="288">
        <f t="shared" si="270"/>
        <v>0</v>
      </c>
      <c r="K1294" s="276" t="s">
        <v>1087</v>
      </c>
      <c r="L1294" s="33">
        <v>1</v>
      </c>
      <c r="M1294" s="181" t="s">
        <v>3954</v>
      </c>
      <c r="N1294" s="157"/>
      <c r="O1294" s="181" t="s">
        <v>659</v>
      </c>
      <c r="P1294" s="164" t="s">
        <v>1091</v>
      </c>
    </row>
    <row r="1295" s="92" customFormat="1" ht="20.1" customHeight="1" spans="1:16">
      <c r="A1295" s="181" t="s">
        <v>3955</v>
      </c>
      <c r="B1295" s="36" t="s">
        <v>1093</v>
      </c>
      <c r="C1295" s="267">
        <v>0</v>
      </c>
      <c r="D1295" s="268">
        <f t="shared" si="265"/>
        <v>0</v>
      </c>
      <c r="E1295" s="267"/>
      <c r="F1295" s="267"/>
      <c r="G1295" s="267"/>
      <c r="H1295" s="267"/>
      <c r="I1295" s="287"/>
      <c r="J1295" s="288">
        <f t="shared" si="270"/>
        <v>0</v>
      </c>
      <c r="K1295" s="276" t="s">
        <v>1087</v>
      </c>
      <c r="L1295" s="33">
        <v>1</v>
      </c>
      <c r="M1295" s="181" t="s">
        <v>3955</v>
      </c>
      <c r="N1295" s="157"/>
      <c r="O1295" s="181" t="s">
        <v>659</v>
      </c>
      <c r="P1295" s="164" t="s">
        <v>1094</v>
      </c>
    </row>
    <row r="1296" s="92" customFormat="1" ht="20.1" customHeight="1" spans="1:16">
      <c r="A1296" s="181" t="s">
        <v>3956</v>
      </c>
      <c r="B1296" s="36" t="s">
        <v>3957</v>
      </c>
      <c r="C1296" s="267">
        <v>0</v>
      </c>
      <c r="D1296" s="268">
        <f t="shared" si="265"/>
        <v>0</v>
      </c>
      <c r="E1296" s="267"/>
      <c r="F1296" s="267"/>
      <c r="G1296" s="267"/>
      <c r="H1296" s="267"/>
      <c r="I1296" s="287"/>
      <c r="J1296" s="288">
        <f t="shared" si="270"/>
        <v>0</v>
      </c>
      <c r="K1296" s="276" t="s">
        <v>1087</v>
      </c>
      <c r="L1296" s="33">
        <v>1</v>
      </c>
      <c r="M1296" s="181" t="s">
        <v>3956</v>
      </c>
      <c r="N1296" s="157"/>
      <c r="O1296" s="181" t="s">
        <v>659</v>
      </c>
      <c r="P1296" s="164" t="s">
        <v>3958</v>
      </c>
    </row>
    <row r="1297" s="92" customFormat="1" ht="20.1" customHeight="1" spans="1:16">
      <c r="A1297" s="181" t="s">
        <v>3959</v>
      </c>
      <c r="B1297" s="36" t="s">
        <v>3960</v>
      </c>
      <c r="C1297" s="267">
        <v>0</v>
      </c>
      <c r="D1297" s="268">
        <f t="shared" si="265"/>
        <v>0</v>
      </c>
      <c r="E1297" s="267"/>
      <c r="F1297" s="267"/>
      <c r="G1297" s="267"/>
      <c r="H1297" s="267"/>
      <c r="I1297" s="287"/>
      <c r="J1297" s="288">
        <f t="shared" si="270"/>
        <v>0</v>
      </c>
      <c r="K1297" s="276" t="s">
        <v>1087</v>
      </c>
      <c r="L1297" s="33">
        <v>1</v>
      </c>
      <c r="M1297" s="181" t="s">
        <v>3959</v>
      </c>
      <c r="N1297" s="157"/>
      <c r="O1297" s="181" t="s">
        <v>659</v>
      </c>
      <c r="P1297" s="164" t="s">
        <v>3961</v>
      </c>
    </row>
    <row r="1298" s="92" customFormat="1" ht="20.1" customHeight="1" spans="1:16">
      <c r="A1298" s="181" t="s">
        <v>3962</v>
      </c>
      <c r="B1298" s="36" t="s">
        <v>3963</v>
      </c>
      <c r="C1298" s="267">
        <v>0</v>
      </c>
      <c r="D1298" s="268">
        <f t="shared" si="265"/>
        <v>0</v>
      </c>
      <c r="E1298" s="267"/>
      <c r="F1298" s="267"/>
      <c r="G1298" s="267"/>
      <c r="H1298" s="267"/>
      <c r="I1298" s="287"/>
      <c r="J1298" s="288">
        <f t="shared" si="270"/>
        <v>0</v>
      </c>
      <c r="K1298" s="276" t="s">
        <v>1087</v>
      </c>
      <c r="L1298" s="33">
        <v>1</v>
      </c>
      <c r="M1298" s="181" t="s">
        <v>3962</v>
      </c>
      <c r="N1298" s="157"/>
      <c r="O1298" s="181" t="s">
        <v>659</v>
      </c>
      <c r="P1298" s="164" t="s">
        <v>3964</v>
      </c>
    </row>
    <row r="1299" s="92" customFormat="1" ht="20.1" customHeight="1" spans="1:16">
      <c r="A1299" s="181" t="s">
        <v>3965</v>
      </c>
      <c r="B1299" s="36" t="s">
        <v>3966</v>
      </c>
      <c r="C1299" s="267">
        <v>0</v>
      </c>
      <c r="D1299" s="268">
        <f t="shared" si="265"/>
        <v>0</v>
      </c>
      <c r="E1299" s="267"/>
      <c r="F1299" s="267"/>
      <c r="G1299" s="267"/>
      <c r="H1299" s="267"/>
      <c r="I1299" s="287"/>
      <c r="J1299" s="288">
        <f t="shared" si="270"/>
        <v>0</v>
      </c>
      <c r="K1299" s="276" t="s">
        <v>1087</v>
      </c>
      <c r="L1299" s="33">
        <v>1</v>
      </c>
      <c r="M1299" s="181" t="s">
        <v>3965</v>
      </c>
      <c r="N1299" s="157"/>
      <c r="O1299" s="181" t="s">
        <v>659</v>
      </c>
      <c r="P1299" s="164" t="s">
        <v>3967</v>
      </c>
    </row>
    <row r="1300" s="92" customFormat="1" ht="20.1" customHeight="1" spans="1:16">
      <c r="A1300" s="181" t="s">
        <v>3968</v>
      </c>
      <c r="B1300" s="36" t="s">
        <v>3969</v>
      </c>
      <c r="C1300" s="267">
        <v>0</v>
      </c>
      <c r="D1300" s="268">
        <f t="shared" si="265"/>
        <v>0</v>
      </c>
      <c r="E1300" s="267"/>
      <c r="F1300" s="267"/>
      <c r="G1300" s="267"/>
      <c r="H1300" s="267"/>
      <c r="I1300" s="287"/>
      <c r="J1300" s="288">
        <f t="shared" si="270"/>
        <v>0</v>
      </c>
      <c r="K1300" s="276" t="s">
        <v>1087</v>
      </c>
      <c r="L1300" s="33">
        <v>1</v>
      </c>
      <c r="M1300" s="181" t="s">
        <v>3968</v>
      </c>
      <c r="N1300" s="157"/>
      <c r="O1300" s="181" t="s">
        <v>659</v>
      </c>
      <c r="P1300" s="164" t="s">
        <v>3970</v>
      </c>
    </row>
    <row r="1301" s="92" customFormat="1" ht="20.1" customHeight="1" spans="1:16">
      <c r="A1301" s="181" t="s">
        <v>3971</v>
      </c>
      <c r="B1301" s="36" t="s">
        <v>3972</v>
      </c>
      <c r="C1301" s="267">
        <v>0</v>
      </c>
      <c r="D1301" s="268">
        <f t="shared" si="265"/>
        <v>0</v>
      </c>
      <c r="E1301" s="267"/>
      <c r="F1301" s="267"/>
      <c r="G1301" s="267"/>
      <c r="H1301" s="267"/>
      <c r="I1301" s="287"/>
      <c r="J1301" s="288">
        <f t="shared" si="270"/>
        <v>0</v>
      </c>
      <c r="K1301" s="276" t="s">
        <v>1087</v>
      </c>
      <c r="L1301" s="33">
        <v>1</v>
      </c>
      <c r="M1301" s="181" t="s">
        <v>3971</v>
      </c>
      <c r="N1301" s="157"/>
      <c r="O1301" s="181" t="s">
        <v>659</v>
      </c>
      <c r="P1301" s="164" t="s">
        <v>3973</v>
      </c>
    </row>
    <row r="1302" s="92" customFormat="1" ht="20.1" customHeight="1" spans="1:16">
      <c r="A1302" s="181" t="s">
        <v>3974</v>
      </c>
      <c r="B1302" s="36" t="s">
        <v>3975</v>
      </c>
      <c r="C1302" s="267">
        <v>0</v>
      </c>
      <c r="D1302" s="268">
        <f t="shared" si="265"/>
        <v>0</v>
      </c>
      <c r="E1302" s="267"/>
      <c r="F1302" s="267"/>
      <c r="G1302" s="267"/>
      <c r="H1302" s="267"/>
      <c r="I1302" s="287"/>
      <c r="J1302" s="288">
        <f t="shared" si="270"/>
        <v>0</v>
      </c>
      <c r="K1302" s="276" t="s">
        <v>1087</v>
      </c>
      <c r="L1302" s="33">
        <v>1</v>
      </c>
      <c r="M1302" s="181" t="s">
        <v>3974</v>
      </c>
      <c r="N1302" s="157"/>
      <c r="O1302" s="181" t="s">
        <v>659</v>
      </c>
      <c r="P1302" s="164" t="s">
        <v>3976</v>
      </c>
    </row>
    <row r="1303" s="92" customFormat="1" ht="20.1" customHeight="1" spans="1:16">
      <c r="A1303" s="181" t="s">
        <v>3977</v>
      </c>
      <c r="B1303" s="36" t="s">
        <v>3978</v>
      </c>
      <c r="C1303" s="267">
        <v>0</v>
      </c>
      <c r="D1303" s="268">
        <f t="shared" si="265"/>
        <v>0</v>
      </c>
      <c r="E1303" s="267"/>
      <c r="F1303" s="267"/>
      <c r="G1303" s="267"/>
      <c r="H1303" s="267"/>
      <c r="I1303" s="287"/>
      <c r="J1303" s="288">
        <f t="shared" si="270"/>
        <v>0</v>
      </c>
      <c r="K1303" s="276" t="s">
        <v>1087</v>
      </c>
      <c r="L1303" s="33">
        <v>1</v>
      </c>
      <c r="M1303" s="181" t="s">
        <v>3977</v>
      </c>
      <c r="N1303" s="157"/>
      <c r="O1303" s="181" t="s">
        <v>659</v>
      </c>
      <c r="P1303" s="164" t="s">
        <v>3979</v>
      </c>
    </row>
    <row r="1304" s="92" customFormat="1" ht="20.1" customHeight="1" spans="1:16">
      <c r="A1304" s="181" t="s">
        <v>3980</v>
      </c>
      <c r="B1304" s="36" t="s">
        <v>3981</v>
      </c>
      <c r="C1304" s="267">
        <v>0</v>
      </c>
      <c r="D1304" s="268">
        <f t="shared" si="265"/>
        <v>0</v>
      </c>
      <c r="E1304" s="267"/>
      <c r="F1304" s="267"/>
      <c r="G1304" s="267"/>
      <c r="H1304" s="267"/>
      <c r="I1304" s="287"/>
      <c r="J1304" s="288">
        <f t="shared" si="270"/>
        <v>0</v>
      </c>
      <c r="K1304" s="276" t="s">
        <v>1087</v>
      </c>
      <c r="L1304" s="33">
        <v>1</v>
      </c>
      <c r="M1304" s="181" t="s">
        <v>3980</v>
      </c>
      <c r="N1304" s="157"/>
      <c r="O1304" s="181" t="s">
        <v>659</v>
      </c>
      <c r="P1304" s="164" t="s">
        <v>3982</v>
      </c>
    </row>
    <row r="1305" s="93" customFormat="1" ht="20.1" customHeight="1" spans="1:16">
      <c r="A1305" s="263" t="s">
        <v>660</v>
      </c>
      <c r="B1305" s="297" t="s">
        <v>3983</v>
      </c>
      <c r="C1305" s="265">
        <f t="shared" ref="C1305:I1305" si="273">SUM(C1306:C1308)</f>
        <v>1211</v>
      </c>
      <c r="D1305" s="265">
        <f t="shared" si="265"/>
        <v>1317</v>
      </c>
      <c r="E1305" s="265">
        <f t="shared" si="273"/>
        <v>0</v>
      </c>
      <c r="F1305" s="265">
        <f t="shared" si="273"/>
        <v>60</v>
      </c>
      <c r="G1305" s="265">
        <f t="shared" si="273"/>
        <v>1257</v>
      </c>
      <c r="H1305" s="265">
        <f t="shared" si="273"/>
        <v>0</v>
      </c>
      <c r="I1305" s="265">
        <f t="shared" si="273"/>
        <v>0</v>
      </c>
      <c r="J1305" s="298">
        <f t="shared" si="270"/>
        <v>108.75</v>
      </c>
      <c r="K1305" s="284" t="s">
        <v>1082</v>
      </c>
      <c r="L1305" s="285"/>
      <c r="M1305" s="263" t="s">
        <v>660</v>
      </c>
      <c r="N1305" s="263" t="s">
        <v>654</v>
      </c>
      <c r="O1305" s="263" t="s">
        <v>660</v>
      </c>
      <c r="P1305" s="286" t="s">
        <v>3984</v>
      </c>
    </row>
    <row r="1306" s="92" customFormat="1" ht="20.1" customHeight="1" spans="1:16">
      <c r="A1306" s="181" t="s">
        <v>3985</v>
      </c>
      <c r="B1306" s="36" t="s">
        <v>3986</v>
      </c>
      <c r="C1306" s="267">
        <v>1211</v>
      </c>
      <c r="D1306" s="268">
        <f t="shared" si="265"/>
        <v>1317</v>
      </c>
      <c r="E1306" s="267"/>
      <c r="F1306" s="267">
        <v>60</v>
      </c>
      <c r="G1306" s="267">
        <v>1257</v>
      </c>
      <c r="H1306" s="267"/>
      <c r="I1306" s="287"/>
      <c r="J1306" s="288">
        <f t="shared" si="270"/>
        <v>108.75</v>
      </c>
      <c r="K1306" s="276" t="s">
        <v>1087</v>
      </c>
      <c r="L1306" s="33">
        <v>1</v>
      </c>
      <c r="M1306" s="181" t="s">
        <v>3985</v>
      </c>
      <c r="N1306" s="157"/>
      <c r="O1306" s="181" t="s">
        <v>660</v>
      </c>
      <c r="P1306" s="164" t="s">
        <v>3987</v>
      </c>
    </row>
    <row r="1307" s="92" customFormat="1" ht="20.1" customHeight="1" spans="1:16">
      <c r="A1307" s="181" t="s">
        <v>3988</v>
      </c>
      <c r="B1307" s="36" t="s">
        <v>3989</v>
      </c>
      <c r="C1307" s="267"/>
      <c r="D1307" s="268">
        <f t="shared" si="265"/>
        <v>0</v>
      </c>
      <c r="E1307" s="267"/>
      <c r="F1307" s="267"/>
      <c r="G1307" s="267"/>
      <c r="H1307" s="267"/>
      <c r="I1307" s="287"/>
      <c r="J1307" s="288">
        <f t="shared" si="270"/>
        <v>0</v>
      </c>
      <c r="K1307" s="276" t="s">
        <v>1087</v>
      </c>
      <c r="L1307" s="33">
        <v>1</v>
      </c>
      <c r="M1307" s="181" t="s">
        <v>3988</v>
      </c>
      <c r="N1307" s="157"/>
      <c r="O1307" s="181" t="s">
        <v>660</v>
      </c>
      <c r="P1307" s="164" t="s">
        <v>3990</v>
      </c>
    </row>
    <row r="1308" s="92" customFormat="1" ht="20.1" customHeight="1" spans="1:16">
      <c r="A1308" s="181" t="s">
        <v>3991</v>
      </c>
      <c r="B1308" s="36" t="s">
        <v>3992</v>
      </c>
      <c r="C1308" s="267"/>
      <c r="D1308" s="268">
        <f t="shared" si="265"/>
        <v>0</v>
      </c>
      <c r="E1308" s="267"/>
      <c r="F1308" s="267"/>
      <c r="G1308" s="267"/>
      <c r="H1308" s="267"/>
      <c r="I1308" s="287"/>
      <c r="J1308" s="288">
        <f t="shared" si="270"/>
        <v>0</v>
      </c>
      <c r="K1308" s="276" t="s">
        <v>1087</v>
      </c>
      <c r="L1308" s="33">
        <v>1</v>
      </c>
      <c r="M1308" s="181" t="s">
        <v>3991</v>
      </c>
      <c r="N1308" s="157"/>
      <c r="O1308" s="181" t="s">
        <v>660</v>
      </c>
      <c r="P1308" s="164" t="s">
        <v>3993</v>
      </c>
    </row>
    <row r="1309" s="93" customFormat="1" ht="20.1" customHeight="1" spans="1:16">
      <c r="A1309" s="263" t="s">
        <v>661</v>
      </c>
      <c r="B1309" s="297" t="s">
        <v>3994</v>
      </c>
      <c r="C1309" s="265">
        <f t="shared" ref="C1309:I1309" si="274">SUM(C1310:C1312)</f>
        <v>17</v>
      </c>
      <c r="D1309" s="265">
        <f t="shared" si="265"/>
        <v>84</v>
      </c>
      <c r="E1309" s="265">
        <f t="shared" si="274"/>
        <v>0</v>
      </c>
      <c r="F1309" s="265">
        <f t="shared" si="274"/>
        <v>0</v>
      </c>
      <c r="G1309" s="265">
        <f t="shared" si="274"/>
        <v>84</v>
      </c>
      <c r="H1309" s="265">
        <f t="shared" si="274"/>
        <v>0</v>
      </c>
      <c r="I1309" s="265">
        <f t="shared" si="274"/>
        <v>0</v>
      </c>
      <c r="J1309" s="298">
        <f t="shared" si="270"/>
        <v>494.12</v>
      </c>
      <c r="K1309" s="284" t="s">
        <v>1082</v>
      </c>
      <c r="L1309" s="285"/>
      <c r="M1309" s="263" t="s">
        <v>661</v>
      </c>
      <c r="N1309" s="263" t="s">
        <v>654</v>
      </c>
      <c r="O1309" s="263" t="s">
        <v>661</v>
      </c>
      <c r="P1309" s="286" t="s">
        <v>3995</v>
      </c>
    </row>
    <row r="1310" s="92" customFormat="1" ht="20.1" customHeight="1" spans="1:16">
      <c r="A1310" s="181" t="s">
        <v>3996</v>
      </c>
      <c r="B1310" s="36" t="s">
        <v>3997</v>
      </c>
      <c r="C1310" s="320">
        <v>2</v>
      </c>
      <c r="D1310" s="268">
        <f t="shared" si="265"/>
        <v>2</v>
      </c>
      <c r="E1310" s="267"/>
      <c r="F1310" s="267"/>
      <c r="G1310" s="267">
        <v>2</v>
      </c>
      <c r="H1310" s="267"/>
      <c r="I1310" s="287"/>
      <c r="J1310" s="288">
        <f t="shared" si="270"/>
        <v>100</v>
      </c>
      <c r="K1310" s="276" t="s">
        <v>1087</v>
      </c>
      <c r="L1310" s="33">
        <v>1</v>
      </c>
      <c r="M1310" s="181" t="s">
        <v>3996</v>
      </c>
      <c r="N1310" s="157"/>
      <c r="O1310" s="181" t="s">
        <v>661</v>
      </c>
      <c r="P1310" s="164" t="s">
        <v>3998</v>
      </c>
    </row>
    <row r="1311" s="92" customFormat="1" ht="20.1" customHeight="1" spans="1:16">
      <c r="A1311" s="181" t="s">
        <v>3999</v>
      </c>
      <c r="B1311" s="36" t="s">
        <v>4000</v>
      </c>
      <c r="C1311" s="320">
        <v>1</v>
      </c>
      <c r="D1311" s="268">
        <f t="shared" si="265"/>
        <v>0</v>
      </c>
      <c r="E1311" s="267"/>
      <c r="F1311" s="267"/>
      <c r="G1311" s="267"/>
      <c r="H1311" s="267"/>
      <c r="I1311" s="287"/>
      <c r="J1311" s="288">
        <f t="shared" si="270"/>
        <v>-100</v>
      </c>
      <c r="K1311" s="276" t="s">
        <v>1087</v>
      </c>
      <c r="L1311" s="33">
        <v>1</v>
      </c>
      <c r="M1311" s="181" t="s">
        <v>3999</v>
      </c>
      <c r="N1311" s="157"/>
      <c r="O1311" s="181" t="s">
        <v>661</v>
      </c>
      <c r="P1311" s="164" t="s">
        <v>4001</v>
      </c>
    </row>
    <row r="1312" s="92" customFormat="1" ht="20.1" customHeight="1" spans="1:16">
      <c r="A1312" s="181" t="s">
        <v>4002</v>
      </c>
      <c r="B1312" s="36" t="s">
        <v>4003</v>
      </c>
      <c r="C1312" s="320">
        <v>14</v>
      </c>
      <c r="D1312" s="268">
        <f t="shared" si="265"/>
        <v>82</v>
      </c>
      <c r="E1312" s="267"/>
      <c r="F1312" s="267"/>
      <c r="G1312" s="267">
        <v>82</v>
      </c>
      <c r="H1312" s="267"/>
      <c r="I1312" s="287"/>
      <c r="J1312" s="288">
        <f t="shared" si="270"/>
        <v>585.71</v>
      </c>
      <c r="K1312" s="276" t="s">
        <v>1087</v>
      </c>
      <c r="L1312" s="33">
        <v>1</v>
      </c>
      <c r="M1312" s="181" t="s">
        <v>4002</v>
      </c>
      <c r="N1312" s="157"/>
      <c r="O1312" s="181" t="s">
        <v>661</v>
      </c>
      <c r="P1312" s="164" t="s">
        <v>4004</v>
      </c>
    </row>
    <row r="1313" s="93" customFormat="1" ht="20.1" customHeight="1" spans="1:16">
      <c r="A1313" s="263" t="s">
        <v>662</v>
      </c>
      <c r="B1313" s="297" t="s">
        <v>4005</v>
      </c>
      <c r="C1313" s="265">
        <f t="shared" ref="C1313:I1313" si="275">SUM(C1314)</f>
        <v>144</v>
      </c>
      <c r="D1313" s="265">
        <f t="shared" si="265"/>
        <v>509</v>
      </c>
      <c r="E1313" s="265">
        <f t="shared" si="275"/>
        <v>0</v>
      </c>
      <c r="F1313" s="265">
        <f t="shared" si="275"/>
        <v>0</v>
      </c>
      <c r="G1313" s="265">
        <f t="shared" si="275"/>
        <v>509</v>
      </c>
      <c r="H1313" s="265">
        <f t="shared" si="275"/>
        <v>0</v>
      </c>
      <c r="I1313" s="265">
        <f t="shared" si="275"/>
        <v>0</v>
      </c>
      <c r="J1313" s="298">
        <f t="shared" si="270"/>
        <v>353.47</v>
      </c>
      <c r="K1313" s="284" t="s">
        <v>1082</v>
      </c>
      <c r="L1313" s="285">
        <v>1</v>
      </c>
      <c r="M1313" s="263" t="s">
        <v>662</v>
      </c>
      <c r="N1313" s="263" t="s">
        <v>654</v>
      </c>
      <c r="O1313" s="263" t="s">
        <v>662</v>
      </c>
      <c r="P1313" s="286" t="s">
        <v>4006</v>
      </c>
    </row>
    <row r="1314" s="92" customFormat="1" ht="20.1" customHeight="1" spans="1:16">
      <c r="A1314" s="181" t="s">
        <v>4007</v>
      </c>
      <c r="B1314" s="36" t="s">
        <v>418</v>
      </c>
      <c r="C1314" s="267">
        <v>144</v>
      </c>
      <c r="D1314" s="268">
        <f t="shared" si="265"/>
        <v>509</v>
      </c>
      <c r="E1314" s="267"/>
      <c r="F1314" s="267"/>
      <c r="G1314" s="267">
        <v>509</v>
      </c>
      <c r="H1314" s="267"/>
      <c r="I1314" s="287"/>
      <c r="J1314" s="288"/>
      <c r="K1314" s="276" t="s">
        <v>1087</v>
      </c>
      <c r="L1314" s="33">
        <v>1</v>
      </c>
      <c r="M1314" s="181" t="s">
        <v>4007</v>
      </c>
      <c r="N1314" s="323" t="s">
        <v>654</v>
      </c>
      <c r="O1314" s="181" t="s">
        <v>662</v>
      </c>
      <c r="P1314" s="164" t="s">
        <v>4006</v>
      </c>
    </row>
    <row r="1315" s="93" customFormat="1" ht="20.1" customHeight="1" spans="1:16">
      <c r="A1315" s="154" t="s">
        <v>663</v>
      </c>
      <c r="B1315" s="261" t="s">
        <v>419</v>
      </c>
      <c r="C1315" s="262"/>
      <c r="D1315" s="262">
        <f t="shared" si="265"/>
        <v>4623</v>
      </c>
      <c r="E1315" s="262"/>
      <c r="F1315" s="262"/>
      <c r="G1315" s="262">
        <f>VLOOKUP(A1315,[1]√表四、2024年公共财政支出变动表!$A$7:$R$214,18,FALSE)</f>
        <v>0</v>
      </c>
      <c r="H1315" s="262">
        <v>4623</v>
      </c>
      <c r="I1315" s="324"/>
      <c r="J1315" s="279">
        <f t="shared" ref="J1315:J1317" si="276">ROUND(IF(C1315=0,IF(D1315=0,0,1),IF(D1315=0,-1,D1315/C1315)),4)*100</f>
        <v>100</v>
      </c>
      <c r="K1315" s="280" t="s">
        <v>1081</v>
      </c>
      <c r="L1315" s="281"/>
      <c r="M1315" s="154" t="s">
        <v>663</v>
      </c>
      <c r="N1315" s="154" t="s">
        <v>663</v>
      </c>
      <c r="O1315" s="154" t="s">
        <v>663</v>
      </c>
      <c r="P1315" s="282" t="s">
        <v>4008</v>
      </c>
    </row>
    <row r="1316" s="93" customFormat="1" ht="20.1" customHeight="1" spans="1:16">
      <c r="A1316" s="154" t="s">
        <v>664</v>
      </c>
      <c r="B1316" s="261" t="s">
        <v>420</v>
      </c>
      <c r="C1316" s="262">
        <f t="shared" ref="C1316:I1316" si="277">C1317+C1319</f>
        <v>6</v>
      </c>
      <c r="D1316" s="262">
        <f t="shared" si="265"/>
        <v>686</v>
      </c>
      <c r="E1316" s="262">
        <f t="shared" si="277"/>
        <v>0</v>
      </c>
      <c r="F1316" s="262">
        <f t="shared" si="277"/>
        <v>0</v>
      </c>
      <c r="G1316" s="262">
        <f t="shared" si="277"/>
        <v>0</v>
      </c>
      <c r="H1316" s="262">
        <f t="shared" si="277"/>
        <v>686</v>
      </c>
      <c r="I1316" s="262">
        <f t="shared" si="277"/>
        <v>0</v>
      </c>
      <c r="J1316" s="279">
        <f t="shared" si="276"/>
        <v>11433.33</v>
      </c>
      <c r="K1316" s="280" t="s">
        <v>1081</v>
      </c>
      <c r="L1316" s="281"/>
      <c r="M1316" s="154" t="s">
        <v>664</v>
      </c>
      <c r="N1316" s="154" t="s">
        <v>664</v>
      </c>
      <c r="O1316" s="154" t="s">
        <v>664</v>
      </c>
      <c r="P1316" s="282" t="s">
        <v>1624</v>
      </c>
    </row>
    <row r="1317" s="93" customFormat="1" ht="20.1" customHeight="1" spans="1:16">
      <c r="A1317" s="263" t="s">
        <v>665</v>
      </c>
      <c r="B1317" s="297" t="s">
        <v>4009</v>
      </c>
      <c r="C1317" s="265">
        <f t="shared" ref="C1317:I1317" si="278">C1318</f>
        <v>0</v>
      </c>
      <c r="D1317" s="265">
        <f t="shared" si="265"/>
        <v>686</v>
      </c>
      <c r="E1317" s="265">
        <f t="shared" si="278"/>
        <v>0</v>
      </c>
      <c r="F1317" s="265">
        <f t="shared" si="278"/>
        <v>0</v>
      </c>
      <c r="G1317" s="265">
        <f t="shared" si="278"/>
        <v>0</v>
      </c>
      <c r="H1317" s="265">
        <f t="shared" si="278"/>
        <v>686</v>
      </c>
      <c r="I1317" s="265">
        <f t="shared" si="278"/>
        <v>0</v>
      </c>
      <c r="J1317" s="298">
        <f t="shared" si="276"/>
        <v>100</v>
      </c>
      <c r="K1317" s="284" t="s">
        <v>1082</v>
      </c>
      <c r="L1317" s="285">
        <v>1</v>
      </c>
      <c r="M1317" s="263" t="s">
        <v>665</v>
      </c>
      <c r="N1317" s="263" t="s">
        <v>664</v>
      </c>
      <c r="O1317" s="263" t="s">
        <v>665</v>
      </c>
      <c r="P1317" s="286" t="s">
        <v>4010</v>
      </c>
    </row>
    <row r="1318" s="92" customFormat="1" ht="20.1" customHeight="1" spans="1:16">
      <c r="A1318" s="157" t="s">
        <v>4011</v>
      </c>
      <c r="B1318" s="36" t="s">
        <v>4012</v>
      </c>
      <c r="C1318" s="267"/>
      <c r="D1318" s="268"/>
      <c r="E1318" s="267"/>
      <c r="F1318" s="267"/>
      <c r="G1318" s="267"/>
      <c r="H1318" s="267">
        <v>686</v>
      </c>
      <c r="I1318" s="287"/>
      <c r="J1318" s="288"/>
      <c r="K1318" s="276" t="s">
        <v>1087</v>
      </c>
      <c r="L1318" s="33">
        <v>1</v>
      </c>
      <c r="M1318" s="157" t="s">
        <v>4011</v>
      </c>
      <c r="N1318" s="157"/>
      <c r="O1318" s="157" t="s">
        <v>665</v>
      </c>
      <c r="P1318" s="163" t="s">
        <v>4010</v>
      </c>
    </row>
    <row r="1319" s="93" customFormat="1" ht="20.1" customHeight="1" spans="1:16">
      <c r="A1319" s="263" t="s">
        <v>666</v>
      </c>
      <c r="B1319" s="297" t="s">
        <v>3611</v>
      </c>
      <c r="C1319" s="265">
        <f t="shared" ref="C1319:I1319" si="279">C1320</f>
        <v>6</v>
      </c>
      <c r="D1319" s="265">
        <f t="shared" ref="D1319:D1335" si="280">SUM(E1319:I1319)</f>
        <v>0</v>
      </c>
      <c r="E1319" s="265">
        <f t="shared" si="279"/>
        <v>0</v>
      </c>
      <c r="F1319" s="265">
        <f t="shared" si="279"/>
        <v>0</v>
      </c>
      <c r="G1319" s="265">
        <f t="shared" si="279"/>
        <v>0</v>
      </c>
      <c r="H1319" s="265">
        <f t="shared" si="279"/>
        <v>0</v>
      </c>
      <c r="I1319" s="265">
        <f t="shared" si="279"/>
        <v>0</v>
      </c>
      <c r="J1319" s="298">
        <f t="shared" ref="J1319:J1333" si="281">ROUND(IF(C1319=0,IF(D1319=0,0,1),IF(D1319=0,-1,D1319/C1319)),4)*100</f>
        <v>-100</v>
      </c>
      <c r="K1319" s="284" t="s">
        <v>1082</v>
      </c>
      <c r="L1319" s="285">
        <v>1</v>
      </c>
      <c r="M1319" s="263" t="s">
        <v>666</v>
      </c>
      <c r="N1319" s="263" t="s">
        <v>664</v>
      </c>
      <c r="O1319" s="263" t="s">
        <v>666</v>
      </c>
      <c r="P1319" s="286" t="s">
        <v>1624</v>
      </c>
    </row>
    <row r="1320" s="92" customFormat="1" ht="20.1" customHeight="1" spans="1:16">
      <c r="A1320" s="157" t="s">
        <v>4013</v>
      </c>
      <c r="B1320" s="269" t="s">
        <v>189</v>
      </c>
      <c r="C1320" s="267">
        <v>6</v>
      </c>
      <c r="D1320" s="267"/>
      <c r="E1320" s="267"/>
      <c r="F1320" s="267"/>
      <c r="G1320" s="267"/>
      <c r="H1320" s="267"/>
      <c r="I1320" s="267"/>
      <c r="J1320" s="159"/>
      <c r="K1320" s="276" t="s">
        <v>1087</v>
      </c>
      <c r="L1320" s="33">
        <v>1</v>
      </c>
      <c r="M1320" s="157" t="s">
        <v>4013</v>
      </c>
      <c r="N1320" s="157"/>
      <c r="O1320" s="157" t="s">
        <v>4013</v>
      </c>
      <c r="P1320" s="163" t="s">
        <v>1624</v>
      </c>
    </row>
    <row r="1321" s="93" customFormat="1" ht="20.1" customHeight="1" spans="1:16">
      <c r="A1321" s="154" t="s">
        <v>671</v>
      </c>
      <c r="B1321" s="261" t="s">
        <v>4014</v>
      </c>
      <c r="C1321" s="262">
        <f t="shared" ref="C1321:I1321" si="282">C1322</f>
        <v>0</v>
      </c>
      <c r="D1321" s="262">
        <f t="shared" si="280"/>
        <v>0</v>
      </c>
      <c r="E1321" s="262">
        <f t="shared" si="282"/>
        <v>0</v>
      </c>
      <c r="F1321" s="262">
        <f t="shared" si="282"/>
        <v>0</v>
      </c>
      <c r="G1321" s="262">
        <f t="shared" si="282"/>
        <v>0</v>
      </c>
      <c r="H1321" s="262">
        <f t="shared" si="282"/>
        <v>0</v>
      </c>
      <c r="I1321" s="262">
        <f t="shared" si="282"/>
        <v>0</v>
      </c>
      <c r="J1321" s="279">
        <f t="shared" si="281"/>
        <v>0</v>
      </c>
      <c r="K1321" s="280" t="s">
        <v>1081</v>
      </c>
      <c r="L1321" s="281"/>
      <c r="M1321" s="154" t="s">
        <v>677</v>
      </c>
      <c r="N1321" s="154" t="s">
        <v>677</v>
      </c>
      <c r="O1321" s="154" t="s">
        <v>677</v>
      </c>
      <c r="P1321" s="282" t="s">
        <v>4015</v>
      </c>
    </row>
    <row r="1322" s="93" customFormat="1" ht="20.1" customHeight="1" spans="1:16">
      <c r="A1322" s="263" t="s">
        <v>676</v>
      </c>
      <c r="B1322" s="297" t="s">
        <v>4016</v>
      </c>
      <c r="C1322" s="265">
        <f t="shared" ref="C1322:I1322" si="283">SUM(C1323:C1326)</f>
        <v>0</v>
      </c>
      <c r="D1322" s="265">
        <f t="shared" si="280"/>
        <v>0</v>
      </c>
      <c r="E1322" s="265">
        <f t="shared" si="283"/>
        <v>0</v>
      </c>
      <c r="F1322" s="265">
        <f t="shared" si="283"/>
        <v>0</v>
      </c>
      <c r="G1322" s="265">
        <f t="shared" si="283"/>
        <v>0</v>
      </c>
      <c r="H1322" s="265">
        <f t="shared" si="283"/>
        <v>0</v>
      </c>
      <c r="I1322" s="265">
        <f t="shared" si="283"/>
        <v>0</v>
      </c>
      <c r="J1322" s="298">
        <f t="shared" si="281"/>
        <v>0</v>
      </c>
      <c r="K1322" s="284" t="s">
        <v>1082</v>
      </c>
      <c r="L1322" s="285"/>
      <c r="M1322" s="263" t="s">
        <v>678</v>
      </c>
      <c r="N1322" s="263" t="s">
        <v>677</v>
      </c>
      <c r="O1322" s="263" t="s">
        <v>678</v>
      </c>
      <c r="P1322" s="286" t="s">
        <v>4017</v>
      </c>
    </row>
    <row r="1323" s="92" customFormat="1" ht="20.1" customHeight="1" spans="1:16">
      <c r="A1323" s="157" t="s">
        <v>4018</v>
      </c>
      <c r="B1323" s="36" t="s">
        <v>4019</v>
      </c>
      <c r="C1323" s="267"/>
      <c r="D1323" s="268">
        <f t="shared" si="280"/>
        <v>0</v>
      </c>
      <c r="E1323" s="267"/>
      <c r="F1323" s="267">
        <f>SUM(F1324:F1327)</f>
        <v>0</v>
      </c>
      <c r="G1323" s="267"/>
      <c r="H1323" s="267"/>
      <c r="I1323" s="287"/>
      <c r="J1323" s="288">
        <f t="shared" si="281"/>
        <v>0</v>
      </c>
      <c r="K1323" s="276" t="s">
        <v>1087</v>
      </c>
      <c r="L1323" s="33">
        <v>1</v>
      </c>
      <c r="M1323" s="157" t="s">
        <v>4020</v>
      </c>
      <c r="N1323" s="157"/>
      <c r="O1323" s="157" t="s">
        <v>678</v>
      </c>
      <c r="P1323" s="163" t="s">
        <v>4021</v>
      </c>
    </row>
    <row r="1324" s="92" customFormat="1" ht="20.1" customHeight="1" spans="1:16">
      <c r="A1324" s="157" t="s">
        <v>4022</v>
      </c>
      <c r="B1324" s="36" t="s">
        <v>4023</v>
      </c>
      <c r="C1324" s="267">
        <v>0</v>
      </c>
      <c r="D1324" s="268">
        <f t="shared" si="280"/>
        <v>0</v>
      </c>
      <c r="E1324" s="267"/>
      <c r="F1324" s="267"/>
      <c r="G1324" s="267"/>
      <c r="H1324" s="267"/>
      <c r="I1324" s="287"/>
      <c r="J1324" s="288">
        <f t="shared" si="281"/>
        <v>0</v>
      </c>
      <c r="K1324" s="276" t="s">
        <v>1087</v>
      </c>
      <c r="L1324" s="33">
        <v>1</v>
      </c>
      <c r="M1324" s="157" t="s">
        <v>4024</v>
      </c>
      <c r="N1324" s="157"/>
      <c r="O1324" s="157" t="s">
        <v>678</v>
      </c>
      <c r="P1324" s="163" t="s">
        <v>4025</v>
      </c>
    </row>
    <row r="1325" s="92" customFormat="1" ht="20.1" customHeight="1" spans="1:16">
      <c r="A1325" s="157" t="s">
        <v>4026</v>
      </c>
      <c r="B1325" s="36" t="s">
        <v>4027</v>
      </c>
      <c r="C1325" s="267">
        <v>0</v>
      </c>
      <c r="D1325" s="268">
        <f t="shared" si="280"/>
        <v>0</v>
      </c>
      <c r="E1325" s="267"/>
      <c r="F1325" s="267"/>
      <c r="G1325" s="267"/>
      <c r="H1325" s="267"/>
      <c r="I1325" s="287"/>
      <c r="J1325" s="288">
        <f t="shared" si="281"/>
        <v>0</v>
      </c>
      <c r="K1325" s="276" t="s">
        <v>1087</v>
      </c>
      <c r="L1325" s="33">
        <v>1</v>
      </c>
      <c r="M1325" s="157" t="s">
        <v>4028</v>
      </c>
      <c r="N1325" s="157"/>
      <c r="O1325" s="157" t="s">
        <v>678</v>
      </c>
      <c r="P1325" s="163" t="s">
        <v>4029</v>
      </c>
    </row>
    <row r="1326" s="92" customFormat="1" ht="20.1" customHeight="1" spans="1:16">
      <c r="A1326" s="157" t="s">
        <v>4030</v>
      </c>
      <c r="B1326" s="36" t="s">
        <v>4031</v>
      </c>
      <c r="C1326" s="267"/>
      <c r="D1326" s="268">
        <f t="shared" si="280"/>
        <v>0</v>
      </c>
      <c r="E1326" s="267"/>
      <c r="F1326" s="267"/>
      <c r="G1326" s="267"/>
      <c r="H1326" s="267"/>
      <c r="I1326" s="287"/>
      <c r="J1326" s="288">
        <f t="shared" si="281"/>
        <v>0</v>
      </c>
      <c r="K1326" s="276" t="s">
        <v>1087</v>
      </c>
      <c r="L1326" s="33">
        <v>1</v>
      </c>
      <c r="M1326" s="157" t="s">
        <v>4032</v>
      </c>
      <c r="N1326" s="157"/>
      <c r="O1326" s="157" t="s">
        <v>678</v>
      </c>
      <c r="P1326" s="163" t="s">
        <v>4033</v>
      </c>
    </row>
    <row r="1327" s="93" customFormat="1" ht="20.1" customHeight="1" spans="1:16">
      <c r="A1327" s="154" t="s">
        <v>677</v>
      </c>
      <c r="B1327" s="261" t="s">
        <v>4034</v>
      </c>
      <c r="C1327" s="262">
        <f t="shared" ref="C1327:I1327" si="284">C1328</f>
        <v>6554</v>
      </c>
      <c r="D1327" s="262">
        <f t="shared" si="280"/>
        <v>5977</v>
      </c>
      <c r="E1327" s="262">
        <f t="shared" si="284"/>
        <v>0</v>
      </c>
      <c r="F1327" s="262">
        <f t="shared" si="284"/>
        <v>0</v>
      </c>
      <c r="G1327" s="262">
        <f t="shared" si="284"/>
        <v>0</v>
      </c>
      <c r="H1327" s="262">
        <f t="shared" si="284"/>
        <v>5977</v>
      </c>
      <c r="I1327" s="262">
        <f t="shared" si="284"/>
        <v>0</v>
      </c>
      <c r="J1327" s="279">
        <f t="shared" si="281"/>
        <v>91.2</v>
      </c>
      <c r="K1327" s="280" t="s">
        <v>1081</v>
      </c>
      <c r="L1327" s="281"/>
      <c r="M1327" s="154" t="s">
        <v>677</v>
      </c>
      <c r="N1327" s="154" t="s">
        <v>677</v>
      </c>
      <c r="O1327" s="154" t="s">
        <v>677</v>
      </c>
      <c r="P1327" s="282" t="s">
        <v>4015</v>
      </c>
    </row>
    <row r="1328" s="93" customFormat="1" ht="20.1" customHeight="1" spans="1:16">
      <c r="A1328" s="263" t="s">
        <v>678</v>
      </c>
      <c r="B1328" s="297" t="s">
        <v>4035</v>
      </c>
      <c r="C1328" s="265">
        <f t="shared" ref="C1328:I1328" si="285">SUM(C1329:C1332)</f>
        <v>6554</v>
      </c>
      <c r="D1328" s="265">
        <f t="shared" si="280"/>
        <v>5977</v>
      </c>
      <c r="E1328" s="265">
        <f t="shared" si="285"/>
        <v>0</v>
      </c>
      <c r="F1328" s="265">
        <f t="shared" si="285"/>
        <v>0</v>
      </c>
      <c r="G1328" s="265">
        <f t="shared" si="285"/>
        <v>0</v>
      </c>
      <c r="H1328" s="265">
        <f t="shared" si="285"/>
        <v>5977</v>
      </c>
      <c r="I1328" s="265">
        <f t="shared" si="285"/>
        <v>0</v>
      </c>
      <c r="J1328" s="298">
        <f t="shared" si="281"/>
        <v>91.2</v>
      </c>
      <c r="K1328" s="284" t="s">
        <v>1082</v>
      </c>
      <c r="L1328" s="285"/>
      <c r="M1328" s="263" t="s">
        <v>678</v>
      </c>
      <c r="N1328" s="263" t="s">
        <v>677</v>
      </c>
      <c r="O1328" s="263" t="s">
        <v>678</v>
      </c>
      <c r="P1328" s="286" t="s">
        <v>4017</v>
      </c>
    </row>
    <row r="1329" s="92" customFormat="1" ht="20.1" customHeight="1" spans="1:16">
      <c r="A1329" s="157" t="s">
        <v>4020</v>
      </c>
      <c r="B1329" s="36" t="s">
        <v>4036</v>
      </c>
      <c r="C1329" s="267">
        <v>6554</v>
      </c>
      <c r="D1329" s="268">
        <f t="shared" si="280"/>
        <v>5977</v>
      </c>
      <c r="E1329" s="267"/>
      <c r="F1329" s="267">
        <f>SUM(F1330:F1333)</f>
        <v>0</v>
      </c>
      <c r="G1329" s="267"/>
      <c r="H1329" s="267">
        <v>5977</v>
      </c>
      <c r="I1329" s="287"/>
      <c r="J1329" s="288">
        <f t="shared" si="281"/>
        <v>91.2</v>
      </c>
      <c r="K1329" s="276" t="s">
        <v>1087</v>
      </c>
      <c r="L1329" s="33">
        <v>1</v>
      </c>
      <c r="M1329" s="157" t="s">
        <v>4020</v>
      </c>
      <c r="N1329" s="157"/>
      <c r="O1329" s="157" t="s">
        <v>678</v>
      </c>
      <c r="P1329" s="163" t="s">
        <v>4021</v>
      </c>
    </row>
    <row r="1330" s="92" customFormat="1" ht="20.1" customHeight="1" spans="1:16">
      <c r="A1330" s="157" t="s">
        <v>4024</v>
      </c>
      <c r="B1330" s="36" t="s">
        <v>4037</v>
      </c>
      <c r="C1330" s="267">
        <v>0</v>
      </c>
      <c r="D1330" s="268">
        <f t="shared" si="280"/>
        <v>0</v>
      </c>
      <c r="E1330" s="267"/>
      <c r="F1330" s="267"/>
      <c r="G1330" s="267"/>
      <c r="H1330" s="267"/>
      <c r="I1330" s="287"/>
      <c r="J1330" s="288">
        <f t="shared" si="281"/>
        <v>0</v>
      </c>
      <c r="K1330" s="276" t="s">
        <v>1087</v>
      </c>
      <c r="L1330" s="33">
        <v>1</v>
      </c>
      <c r="M1330" s="157" t="s">
        <v>4024</v>
      </c>
      <c r="N1330" s="157"/>
      <c r="O1330" s="157" t="s">
        <v>678</v>
      </c>
      <c r="P1330" s="163" t="s">
        <v>4025</v>
      </c>
    </row>
    <row r="1331" s="92" customFormat="1" ht="20.1" customHeight="1" spans="1:16">
      <c r="A1331" s="157" t="s">
        <v>4028</v>
      </c>
      <c r="B1331" s="36" t="s">
        <v>4038</v>
      </c>
      <c r="C1331" s="267">
        <v>0</v>
      </c>
      <c r="D1331" s="268">
        <f t="shared" si="280"/>
        <v>0</v>
      </c>
      <c r="E1331" s="267"/>
      <c r="F1331" s="267"/>
      <c r="G1331" s="267"/>
      <c r="H1331" s="267"/>
      <c r="I1331" s="287"/>
      <c r="J1331" s="288">
        <f t="shared" si="281"/>
        <v>0</v>
      </c>
      <c r="K1331" s="276" t="s">
        <v>1087</v>
      </c>
      <c r="L1331" s="33">
        <v>1</v>
      </c>
      <c r="M1331" s="157" t="s">
        <v>4028</v>
      </c>
      <c r="N1331" s="157"/>
      <c r="O1331" s="157" t="s">
        <v>678</v>
      </c>
      <c r="P1331" s="163" t="s">
        <v>4029</v>
      </c>
    </row>
    <row r="1332" s="92" customFormat="1" ht="20.1" customHeight="1" spans="1:16">
      <c r="A1332" s="157" t="s">
        <v>4032</v>
      </c>
      <c r="B1332" s="36" t="s">
        <v>4039</v>
      </c>
      <c r="C1332" s="267"/>
      <c r="D1332" s="268">
        <f t="shared" si="280"/>
        <v>0</v>
      </c>
      <c r="E1332" s="267"/>
      <c r="F1332" s="267"/>
      <c r="G1332" s="267"/>
      <c r="H1332" s="267"/>
      <c r="I1332" s="287"/>
      <c r="J1332" s="288">
        <f t="shared" si="281"/>
        <v>0</v>
      </c>
      <c r="K1332" s="276" t="s">
        <v>1087</v>
      </c>
      <c r="L1332" s="33">
        <v>1</v>
      </c>
      <c r="M1332" s="157" t="s">
        <v>4032</v>
      </c>
      <c r="N1332" s="157"/>
      <c r="O1332" s="157" t="s">
        <v>678</v>
      </c>
      <c r="P1332" s="163" t="s">
        <v>4033</v>
      </c>
    </row>
    <row r="1333" s="93" customFormat="1" ht="20.1" customHeight="1" spans="1:16">
      <c r="A1333" s="154" t="s">
        <v>680</v>
      </c>
      <c r="B1333" s="261" t="s">
        <v>4040</v>
      </c>
      <c r="C1333" s="262">
        <f t="shared" ref="C1333:I1333" si="286">C1334</f>
        <v>17</v>
      </c>
      <c r="D1333" s="262">
        <f t="shared" si="280"/>
        <v>0</v>
      </c>
      <c r="E1333" s="262">
        <f t="shared" si="286"/>
        <v>0</v>
      </c>
      <c r="F1333" s="262">
        <f t="shared" si="286"/>
        <v>0</v>
      </c>
      <c r="G1333" s="262">
        <f t="shared" si="286"/>
        <v>0</v>
      </c>
      <c r="H1333" s="262">
        <f t="shared" si="286"/>
        <v>0</v>
      </c>
      <c r="I1333" s="262">
        <f t="shared" si="286"/>
        <v>0</v>
      </c>
      <c r="J1333" s="279">
        <f t="shared" si="281"/>
        <v>-100</v>
      </c>
      <c r="K1333" s="280" t="s">
        <v>1081</v>
      </c>
      <c r="L1333" s="281"/>
      <c r="M1333" s="154" t="s">
        <v>680</v>
      </c>
      <c r="N1333" s="154" t="s">
        <v>680</v>
      </c>
      <c r="O1333" s="154" t="s">
        <v>680</v>
      </c>
      <c r="P1333" s="282" t="s">
        <v>4041</v>
      </c>
    </row>
    <row r="1334" s="93" customFormat="1" ht="20.1" customHeight="1" spans="1:16">
      <c r="A1334" s="263" t="s">
        <v>681</v>
      </c>
      <c r="B1334" s="297" t="s">
        <v>4042</v>
      </c>
      <c r="C1334" s="265">
        <f t="shared" ref="C1334:J1334" si="287">C1335</f>
        <v>17</v>
      </c>
      <c r="D1334" s="265">
        <f t="shared" si="280"/>
        <v>0</v>
      </c>
      <c r="E1334" s="265">
        <f t="shared" si="287"/>
        <v>0</v>
      </c>
      <c r="F1334" s="265">
        <f t="shared" si="287"/>
        <v>0</v>
      </c>
      <c r="G1334" s="265">
        <f t="shared" si="287"/>
        <v>0</v>
      </c>
      <c r="H1334" s="265">
        <f t="shared" si="287"/>
        <v>0</v>
      </c>
      <c r="I1334" s="265">
        <f t="shared" si="287"/>
        <v>0</v>
      </c>
      <c r="J1334" s="298">
        <f t="shared" si="287"/>
        <v>0</v>
      </c>
      <c r="K1334" s="284" t="s">
        <v>1082</v>
      </c>
      <c r="L1334" s="285">
        <v>1</v>
      </c>
      <c r="M1334" s="263" t="s">
        <v>681</v>
      </c>
      <c r="N1334" s="263" t="s">
        <v>680</v>
      </c>
      <c r="O1334" s="263" t="s">
        <v>681</v>
      </c>
      <c r="P1334" s="286" t="s">
        <v>4043</v>
      </c>
    </row>
    <row r="1335" s="92" customFormat="1" ht="20.1" customHeight="1" spans="1:16">
      <c r="A1335" s="183" t="s">
        <v>4044</v>
      </c>
      <c r="B1335" s="36" t="s">
        <v>432</v>
      </c>
      <c r="C1335" s="267">
        <v>17</v>
      </c>
      <c r="D1335" s="267">
        <f t="shared" si="280"/>
        <v>0</v>
      </c>
      <c r="E1335" s="267"/>
      <c r="F1335" s="267"/>
      <c r="G1335" s="267"/>
      <c r="H1335" s="267"/>
      <c r="I1335" s="325"/>
      <c r="J1335" s="159"/>
      <c r="K1335" s="276" t="s">
        <v>1087</v>
      </c>
      <c r="L1335" s="33">
        <v>1</v>
      </c>
      <c r="M1335" s="157" t="s">
        <v>4044</v>
      </c>
      <c r="N1335" s="157"/>
      <c r="O1335" s="157" t="s">
        <v>681</v>
      </c>
      <c r="P1335" s="163" t="s">
        <v>4043</v>
      </c>
    </row>
    <row r="1336" s="92" customFormat="1" ht="20.1" customHeight="1" spans="1:16">
      <c r="A1336" s="183"/>
      <c r="B1336" s="36"/>
      <c r="C1336" s="267"/>
      <c r="D1336" s="267"/>
      <c r="E1336" s="267"/>
      <c r="F1336" s="267"/>
      <c r="G1336" s="267"/>
      <c r="H1336" s="267"/>
      <c r="I1336" s="325"/>
      <c r="J1336" s="159"/>
      <c r="K1336" s="276"/>
      <c r="L1336" s="33"/>
      <c r="M1336" s="157"/>
      <c r="N1336" s="157"/>
      <c r="O1336" s="157"/>
      <c r="P1336" s="163"/>
    </row>
    <row r="1337" s="92" customFormat="1" ht="20.1" customHeight="1" spans="1:16">
      <c r="A1337" s="183"/>
      <c r="B1337" s="123" t="s">
        <v>433</v>
      </c>
      <c r="C1337" s="267">
        <f t="shared" ref="C1337:I1337" si="288">C4+C252+C292+C311+C401+C453+C509+C565+C695+C778+C850+C873+C980+C1032+C1096+C1116+C1146+C1156+C1201+C1220+C1265+C1315+C1316+C1327+C1333+C1321</f>
        <v>327347</v>
      </c>
      <c r="D1337" s="267">
        <f t="shared" si="288"/>
        <v>365680</v>
      </c>
      <c r="E1337" s="267">
        <f t="shared" si="288"/>
        <v>75116</v>
      </c>
      <c r="F1337" s="267">
        <f t="shared" si="288"/>
        <v>1373</v>
      </c>
      <c r="G1337" s="267">
        <f t="shared" si="288"/>
        <v>102871</v>
      </c>
      <c r="H1337" s="267">
        <f t="shared" si="288"/>
        <v>17187</v>
      </c>
      <c r="I1337" s="267">
        <f t="shared" si="288"/>
        <v>169133</v>
      </c>
      <c r="J1337" s="288">
        <f>ROUND(IF(C1337=0,IF(D1337=0,0,1),IF(D1337=0,-1,D1337/C1337)),4)*100</f>
        <v>111.71</v>
      </c>
      <c r="K1337" s="276"/>
      <c r="L1337" s="33"/>
      <c r="M1337" s="157"/>
      <c r="N1337" s="157"/>
      <c r="O1337" s="157"/>
      <c r="P1337" s="163"/>
    </row>
    <row r="1338" ht="20.1" customHeight="1"/>
    <row r="1339" s="125" customFormat="1" hidden="1" spans="1:16">
      <c r="A1339" s="254"/>
      <c r="D1339" s="255"/>
      <c r="E1339" s="255"/>
      <c r="F1339" s="255"/>
      <c r="G1339" s="255"/>
      <c r="H1339" s="255">
        <v>1620</v>
      </c>
      <c r="I1339" s="57"/>
      <c r="K1339" s="147"/>
      <c r="L1339" s="147"/>
      <c r="M1339" s="254"/>
      <c r="N1339" s="254"/>
      <c r="O1339" s="254"/>
      <c r="P1339" s="256"/>
    </row>
    <row r="1340" s="125" customFormat="1" hidden="1" spans="1:16">
      <c r="A1340" s="254"/>
      <c r="D1340" s="255"/>
      <c r="E1340" s="255"/>
      <c r="F1340" s="255"/>
      <c r="G1340" s="255"/>
      <c r="H1340" s="255">
        <f>SUM(H1337:H1339)</f>
        <v>18807</v>
      </c>
      <c r="I1340" s="57"/>
      <c r="K1340" s="147"/>
      <c r="L1340" s="147"/>
      <c r="M1340" s="254"/>
      <c r="N1340" s="254"/>
      <c r="O1340" s="254"/>
      <c r="P1340" s="256"/>
    </row>
    <row r="1341" hidden="1"/>
    <row r="1342" hidden="1"/>
  </sheetData>
  <mergeCells count="2">
    <mergeCell ref="A1:J1"/>
    <mergeCell ref="Q952:Q954"/>
  </mergeCells>
  <dataValidations count="1">
    <dataValidation type="decimal" operator="between" allowBlank="1" showInputMessage="1" showErrorMessage="1" sqref="C969:C972 C1267:C1276 C1310:C1312">
      <formula1>-99999999999999</formula1>
      <formula2>99999999999999</formula2>
    </dataValidation>
  </dataValidations>
  <printOptions horizontalCentered="1" verticalCentered="1"/>
  <pageMargins left="0.708661417322835" right="0.708661417322835" top="0.551181102362205" bottom="0.551181102362205" header="0.31496062992126" footer="0.31496062992126"/>
  <pageSetup paperSize="9" scale="55" fitToHeight="50" orientation="portrait" blackAndWhite="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42"/>
  <sheetViews>
    <sheetView workbookViewId="0">
      <selection activeCell="Q10" sqref="Q10"/>
    </sheetView>
  </sheetViews>
  <sheetFormatPr defaultColWidth="9" defaultRowHeight="15"/>
  <cols>
    <col min="1" max="1" width="9" style="254"/>
    <col min="2" max="2" width="37.25" style="125" customWidth="1"/>
    <col min="3" max="3" width="13.375" style="125" customWidth="1"/>
    <col min="4" max="4" width="12.5" style="255" customWidth="1"/>
    <col min="5" max="8" width="12.5" style="255" hidden="1" customWidth="1"/>
    <col min="9" max="9" width="12.375" style="57" hidden="1" customWidth="1"/>
    <col min="10" max="10" width="12.375" style="125" customWidth="1"/>
    <col min="11" max="12" width="9" style="147" hidden="1" customWidth="1"/>
    <col min="13" max="13" width="11.375" style="254" hidden="1" customWidth="1"/>
    <col min="14" max="14" width="4.86666666666667" style="254" hidden="1" customWidth="1"/>
    <col min="15" max="15" width="6.65833333333333" style="254" hidden="1" customWidth="1"/>
    <col min="16" max="16" width="21.6666666666667" style="256" hidden="1" customWidth="1"/>
    <col min="17" max="17" width="33.25" style="125" customWidth="1"/>
    <col min="18" max="20" width="9" style="125" customWidth="1"/>
    <col min="21" max="16384" width="9" style="125"/>
  </cols>
  <sheetData>
    <row r="1" s="129" customFormat="1" ht="21" spans="1:16">
      <c r="A1" s="630" t="s">
        <v>4045</v>
      </c>
      <c r="B1" s="105"/>
      <c r="C1" s="105"/>
      <c r="D1" s="105"/>
      <c r="E1" s="105"/>
      <c r="F1" s="105"/>
      <c r="G1" s="105"/>
      <c r="H1" s="105"/>
      <c r="I1" s="270"/>
      <c r="J1" s="105"/>
      <c r="K1" s="271"/>
      <c r="L1" s="271"/>
      <c r="M1" s="272"/>
      <c r="N1" s="272"/>
      <c r="O1" s="272"/>
      <c r="P1" s="273"/>
    </row>
    <row r="2" s="92" customFormat="1" ht="20.25" customHeight="1" spans="1:16">
      <c r="A2" s="258"/>
      <c r="D2" s="259"/>
      <c r="E2" s="259"/>
      <c r="F2" s="259"/>
      <c r="G2" s="259"/>
      <c r="H2" s="259"/>
      <c r="I2" s="274" t="s">
        <v>1072</v>
      </c>
      <c r="J2" s="275" t="s">
        <v>51</v>
      </c>
      <c r="K2" s="276"/>
      <c r="L2" s="276"/>
      <c r="M2" s="258"/>
      <c r="N2" s="258"/>
      <c r="O2" s="258"/>
      <c r="P2" s="277"/>
    </row>
    <row r="3" s="92" customFormat="1" ht="36" customHeight="1" spans="1:16">
      <c r="A3" s="157" t="s">
        <v>435</v>
      </c>
      <c r="B3" s="39" t="s">
        <v>52</v>
      </c>
      <c r="C3" s="600" t="s">
        <v>1010</v>
      </c>
      <c r="D3" s="39" t="s">
        <v>1068</v>
      </c>
      <c r="E3" s="631" t="s">
        <v>1074</v>
      </c>
      <c r="F3" s="260" t="s">
        <v>1075</v>
      </c>
      <c r="G3" s="260" t="s">
        <v>1076</v>
      </c>
      <c r="H3" s="632" t="s">
        <v>1077</v>
      </c>
      <c r="I3" s="633" t="s">
        <v>1078</v>
      </c>
      <c r="J3" s="135" t="s">
        <v>1079</v>
      </c>
      <c r="K3" s="276"/>
      <c r="L3" s="33" t="s">
        <v>1080</v>
      </c>
      <c r="M3" s="157" t="s">
        <v>435</v>
      </c>
      <c r="N3" s="157" t="s">
        <v>1081</v>
      </c>
      <c r="O3" s="157" t="s">
        <v>1082</v>
      </c>
      <c r="P3" s="163" t="s">
        <v>436</v>
      </c>
    </row>
    <row r="4" s="93" customFormat="1" ht="20.1" customHeight="1" spans="1:16">
      <c r="A4" s="154" t="s">
        <v>455</v>
      </c>
      <c r="B4" s="261" t="s">
        <v>221</v>
      </c>
      <c r="C4" s="262">
        <f t="shared" ref="C4:I4" si="0">C5+C17+C26+C36+C47+C58+C69+C77+C86+C99+C108+C119+C131+C138+C146+C152+C159+C166+C173+C180+C187+C201+C207+C214+C249+C236+C195+C229+C243</f>
        <v>20055</v>
      </c>
      <c r="D4" s="262">
        <f t="shared" ref="D4:D67" si="1">SUM(E4:I4)</f>
        <v>23179</v>
      </c>
      <c r="E4" s="262">
        <f t="shared" si="0"/>
        <v>207</v>
      </c>
      <c r="F4" s="262">
        <f t="shared" si="0"/>
        <v>55</v>
      </c>
      <c r="G4" s="262">
        <f t="shared" si="0"/>
        <v>1174</v>
      </c>
      <c r="H4" s="262">
        <f t="shared" si="0"/>
        <v>2000</v>
      </c>
      <c r="I4" s="262">
        <f t="shared" si="0"/>
        <v>19743</v>
      </c>
      <c r="J4" s="279">
        <f t="shared" ref="J4:J67" si="2">ROUND(IF(C4=0,IF(D4=0,0,1),IF(D4=0,-1,D4/C4)),4)*100</f>
        <v>115.58</v>
      </c>
      <c r="K4" s="280" t="s">
        <v>1081</v>
      </c>
      <c r="L4" s="281"/>
      <c r="M4" s="154" t="s">
        <v>455</v>
      </c>
      <c r="N4" s="154" t="s">
        <v>455</v>
      </c>
      <c r="O4" s="154"/>
      <c r="P4" s="282" t="s">
        <v>1083</v>
      </c>
    </row>
    <row r="5" s="93" customFormat="1" ht="20.1" customHeight="1" spans="1:16">
      <c r="A5" s="263" t="s">
        <v>456</v>
      </c>
      <c r="B5" s="264" t="s">
        <v>222</v>
      </c>
      <c r="C5" s="265">
        <f t="shared" ref="C5:I5" si="3">SUM(C6:C16)</f>
        <v>640</v>
      </c>
      <c r="D5" s="265">
        <f t="shared" si="1"/>
        <v>891</v>
      </c>
      <c r="E5" s="265">
        <f t="shared" si="3"/>
        <v>0</v>
      </c>
      <c r="F5" s="265">
        <f t="shared" si="3"/>
        <v>0</v>
      </c>
      <c r="G5" s="265">
        <f t="shared" si="3"/>
        <v>76</v>
      </c>
      <c r="H5" s="265">
        <f t="shared" si="3"/>
        <v>0</v>
      </c>
      <c r="I5" s="265">
        <f t="shared" si="3"/>
        <v>815</v>
      </c>
      <c r="J5" s="283">
        <f t="shared" si="2"/>
        <v>139.22</v>
      </c>
      <c r="K5" s="284" t="s">
        <v>1082</v>
      </c>
      <c r="L5" s="285"/>
      <c r="M5" s="263" t="s">
        <v>456</v>
      </c>
      <c r="N5" s="263" t="s">
        <v>455</v>
      </c>
      <c r="O5" s="263" t="s">
        <v>456</v>
      </c>
      <c r="P5" s="286" t="s">
        <v>1084</v>
      </c>
    </row>
    <row r="6" s="92" customFormat="1" ht="20.1" customHeight="1" spans="1:16">
      <c r="A6" s="157" t="s">
        <v>1085</v>
      </c>
      <c r="B6" s="266" t="s">
        <v>1086</v>
      </c>
      <c r="C6" s="267">
        <v>514</v>
      </c>
      <c r="D6" s="268">
        <f t="shared" si="1"/>
        <v>556</v>
      </c>
      <c r="E6" s="267"/>
      <c r="F6" s="267"/>
      <c r="G6" s="267"/>
      <c r="H6" s="267"/>
      <c r="I6" s="287">
        <v>556</v>
      </c>
      <c r="J6" s="288">
        <f t="shared" si="2"/>
        <v>108.17</v>
      </c>
      <c r="K6" s="276" t="s">
        <v>1087</v>
      </c>
      <c r="L6" s="33">
        <v>1</v>
      </c>
      <c r="M6" s="157" t="s">
        <v>1085</v>
      </c>
      <c r="N6" s="157"/>
      <c r="O6" s="157" t="s">
        <v>456</v>
      </c>
      <c r="P6" s="164" t="s">
        <v>1088</v>
      </c>
    </row>
    <row r="7" s="92" customFormat="1" ht="20.1" customHeight="1" spans="1:16">
      <c r="A7" s="157" t="s">
        <v>1089</v>
      </c>
      <c r="B7" s="266" t="s">
        <v>1090</v>
      </c>
      <c r="C7" s="267"/>
      <c r="D7" s="268">
        <f t="shared" si="1"/>
        <v>0</v>
      </c>
      <c r="E7" s="267"/>
      <c r="F7" s="267"/>
      <c r="G7" s="267"/>
      <c r="H7" s="267"/>
      <c r="I7" s="287"/>
      <c r="J7" s="288">
        <f t="shared" si="2"/>
        <v>0</v>
      </c>
      <c r="K7" s="276" t="s">
        <v>1087</v>
      </c>
      <c r="L7" s="33">
        <v>1</v>
      </c>
      <c r="M7" s="157" t="s">
        <v>1089</v>
      </c>
      <c r="N7" s="157"/>
      <c r="O7" s="157" t="s">
        <v>456</v>
      </c>
      <c r="P7" s="164" t="s">
        <v>1091</v>
      </c>
    </row>
    <row r="8" s="92" customFormat="1" ht="20.1" customHeight="1" spans="1:16">
      <c r="A8" s="157" t="s">
        <v>1092</v>
      </c>
      <c r="B8" s="269" t="s">
        <v>1093</v>
      </c>
      <c r="C8" s="267">
        <v>0</v>
      </c>
      <c r="D8" s="268">
        <f t="shared" si="1"/>
        <v>0</v>
      </c>
      <c r="E8" s="267"/>
      <c r="F8" s="267"/>
      <c r="G8" s="267"/>
      <c r="H8" s="267"/>
      <c r="I8" s="287"/>
      <c r="J8" s="288">
        <f t="shared" si="2"/>
        <v>0</v>
      </c>
      <c r="K8" s="276" t="s">
        <v>1087</v>
      </c>
      <c r="L8" s="33">
        <v>1</v>
      </c>
      <c r="M8" s="157" t="s">
        <v>1092</v>
      </c>
      <c r="N8" s="157"/>
      <c r="O8" s="157" t="s">
        <v>456</v>
      </c>
      <c r="P8" s="164" t="s">
        <v>1094</v>
      </c>
    </row>
    <row r="9" s="92" customFormat="1" ht="20.1" customHeight="1" spans="1:16">
      <c r="A9" s="157" t="s">
        <v>1095</v>
      </c>
      <c r="B9" s="269" t="s">
        <v>1096</v>
      </c>
      <c r="C9" s="267">
        <v>29</v>
      </c>
      <c r="D9" s="268">
        <f t="shared" si="1"/>
        <v>62</v>
      </c>
      <c r="E9" s="267"/>
      <c r="F9" s="267"/>
      <c r="G9" s="267"/>
      <c r="H9" s="267"/>
      <c r="I9" s="287">
        <v>62</v>
      </c>
      <c r="J9" s="288">
        <f t="shared" si="2"/>
        <v>213.79</v>
      </c>
      <c r="K9" s="276" t="s">
        <v>1087</v>
      </c>
      <c r="L9" s="33">
        <v>1</v>
      </c>
      <c r="M9" s="157" t="s">
        <v>1095</v>
      </c>
      <c r="N9" s="157"/>
      <c r="O9" s="157" t="s">
        <v>456</v>
      </c>
      <c r="P9" s="163" t="s">
        <v>1097</v>
      </c>
    </row>
    <row r="10" s="92" customFormat="1" ht="20.1" customHeight="1" spans="1:16">
      <c r="A10" s="157" t="s">
        <v>1098</v>
      </c>
      <c r="B10" s="269" t="s">
        <v>1099</v>
      </c>
      <c r="C10" s="267">
        <v>60</v>
      </c>
      <c r="D10" s="268">
        <f t="shared" si="1"/>
        <v>30</v>
      </c>
      <c r="E10" s="267"/>
      <c r="F10" s="267"/>
      <c r="G10" s="267"/>
      <c r="H10" s="267"/>
      <c r="I10" s="287">
        <v>30</v>
      </c>
      <c r="J10" s="288">
        <f t="shared" si="2"/>
        <v>50</v>
      </c>
      <c r="K10" s="276" t="s">
        <v>1087</v>
      </c>
      <c r="L10" s="33">
        <v>1</v>
      </c>
      <c r="M10" s="157" t="s">
        <v>1098</v>
      </c>
      <c r="N10" s="157"/>
      <c r="O10" s="157" t="s">
        <v>456</v>
      </c>
      <c r="P10" s="163" t="s">
        <v>1100</v>
      </c>
    </row>
    <row r="11" s="92" customFormat="1" ht="20.1" customHeight="1" spans="1:16">
      <c r="A11" s="157" t="s">
        <v>1101</v>
      </c>
      <c r="B11" s="36" t="s">
        <v>1102</v>
      </c>
      <c r="C11" s="267">
        <v>7</v>
      </c>
      <c r="D11" s="268">
        <f t="shared" si="1"/>
        <v>10</v>
      </c>
      <c r="E11" s="267"/>
      <c r="F11" s="267"/>
      <c r="G11" s="267"/>
      <c r="H11" s="267"/>
      <c r="I11" s="287">
        <v>10</v>
      </c>
      <c r="J11" s="288">
        <f t="shared" si="2"/>
        <v>142.86</v>
      </c>
      <c r="K11" s="276" t="s">
        <v>1087</v>
      </c>
      <c r="L11" s="33">
        <v>1</v>
      </c>
      <c r="M11" s="157" t="s">
        <v>1101</v>
      </c>
      <c r="N11" s="157"/>
      <c r="O11" s="157" t="s">
        <v>456</v>
      </c>
      <c r="P11" s="163" t="s">
        <v>1103</v>
      </c>
    </row>
    <row r="12" s="92" customFormat="1" ht="20.1" customHeight="1" spans="1:16">
      <c r="A12" s="157" t="s">
        <v>1104</v>
      </c>
      <c r="B12" s="36" t="s">
        <v>1105</v>
      </c>
      <c r="C12" s="267">
        <v>7</v>
      </c>
      <c r="D12" s="268">
        <f t="shared" si="1"/>
        <v>207</v>
      </c>
      <c r="E12" s="267"/>
      <c r="F12" s="267"/>
      <c r="G12" s="267">
        <v>69</v>
      </c>
      <c r="H12" s="267"/>
      <c r="I12" s="287">
        <v>138</v>
      </c>
      <c r="J12" s="288">
        <f t="shared" si="2"/>
        <v>2957.14</v>
      </c>
      <c r="K12" s="276" t="s">
        <v>1087</v>
      </c>
      <c r="L12" s="33">
        <v>1</v>
      </c>
      <c r="M12" s="157" t="s">
        <v>1104</v>
      </c>
      <c r="N12" s="157"/>
      <c r="O12" s="157" t="s">
        <v>456</v>
      </c>
      <c r="P12" s="163" t="s">
        <v>1106</v>
      </c>
    </row>
    <row r="13" s="92" customFormat="1" ht="20.1" customHeight="1" spans="1:16">
      <c r="A13" s="157" t="s">
        <v>1107</v>
      </c>
      <c r="B13" s="36" t="s">
        <v>1108</v>
      </c>
      <c r="C13" s="267"/>
      <c r="D13" s="268">
        <f t="shared" si="1"/>
        <v>15</v>
      </c>
      <c r="E13" s="267"/>
      <c r="F13" s="267"/>
      <c r="G13" s="267"/>
      <c r="H13" s="267"/>
      <c r="I13" s="287">
        <v>15</v>
      </c>
      <c r="J13" s="288">
        <f t="shared" si="2"/>
        <v>100</v>
      </c>
      <c r="K13" s="276" t="s">
        <v>1087</v>
      </c>
      <c r="L13" s="33">
        <v>1</v>
      </c>
      <c r="M13" s="157" t="s">
        <v>1107</v>
      </c>
      <c r="N13" s="157"/>
      <c r="O13" s="157" t="s">
        <v>456</v>
      </c>
      <c r="P13" s="163" t="s">
        <v>1109</v>
      </c>
    </row>
    <row r="14" s="92" customFormat="1" ht="20.1" customHeight="1" spans="1:16">
      <c r="A14" s="157" t="s">
        <v>1110</v>
      </c>
      <c r="B14" s="36" t="s">
        <v>1111</v>
      </c>
      <c r="C14" s="267"/>
      <c r="D14" s="268">
        <f t="shared" si="1"/>
        <v>0</v>
      </c>
      <c r="E14" s="267"/>
      <c r="F14" s="267"/>
      <c r="G14" s="267"/>
      <c r="H14" s="267"/>
      <c r="I14" s="287"/>
      <c r="J14" s="288">
        <f t="shared" si="2"/>
        <v>0</v>
      </c>
      <c r="K14" s="276" t="s">
        <v>1087</v>
      </c>
      <c r="L14" s="33">
        <v>1</v>
      </c>
      <c r="M14" s="157" t="s">
        <v>1110</v>
      </c>
      <c r="N14" s="157"/>
      <c r="O14" s="157" t="s">
        <v>456</v>
      </c>
      <c r="P14" s="163" t="s">
        <v>1112</v>
      </c>
    </row>
    <row r="15" s="92" customFormat="1" ht="20.1" customHeight="1" spans="1:19">
      <c r="A15" s="157" t="s">
        <v>1113</v>
      </c>
      <c r="B15" s="36" t="s">
        <v>1114</v>
      </c>
      <c r="C15" s="267"/>
      <c r="D15" s="268">
        <f t="shared" si="1"/>
        <v>4</v>
      </c>
      <c r="E15" s="267"/>
      <c r="F15" s="267"/>
      <c r="G15" s="267"/>
      <c r="H15" s="267"/>
      <c r="I15" s="287">
        <v>4</v>
      </c>
      <c r="J15" s="288">
        <f t="shared" si="2"/>
        <v>100</v>
      </c>
      <c r="K15" s="276" t="s">
        <v>1087</v>
      </c>
      <c r="L15" s="33">
        <v>1</v>
      </c>
      <c r="M15" s="157" t="s">
        <v>1113</v>
      </c>
      <c r="N15" s="157"/>
      <c r="O15" s="157" t="s">
        <v>456</v>
      </c>
      <c r="P15" s="164" t="s">
        <v>1115</v>
      </c>
      <c r="S15" s="92" t="s">
        <v>1116</v>
      </c>
    </row>
    <row r="16" s="92" customFormat="1" ht="20.1" customHeight="1" spans="1:16">
      <c r="A16" s="157" t="s">
        <v>1117</v>
      </c>
      <c r="B16" s="36" t="s">
        <v>1118</v>
      </c>
      <c r="C16" s="267">
        <v>23</v>
      </c>
      <c r="D16" s="268">
        <f t="shared" si="1"/>
        <v>7</v>
      </c>
      <c r="E16" s="267"/>
      <c r="F16" s="267"/>
      <c r="G16" s="267">
        <v>7</v>
      </c>
      <c r="H16" s="267"/>
      <c r="I16" s="287"/>
      <c r="J16" s="288">
        <f t="shared" si="2"/>
        <v>30.43</v>
      </c>
      <c r="K16" s="276" t="s">
        <v>1087</v>
      </c>
      <c r="L16" s="33">
        <v>1</v>
      </c>
      <c r="M16" s="157" t="s">
        <v>1117</v>
      </c>
      <c r="N16" s="157"/>
      <c r="O16" s="157" t="s">
        <v>456</v>
      </c>
      <c r="P16" s="163" t="s">
        <v>1119</v>
      </c>
    </row>
    <row r="17" s="93" customFormat="1" ht="20.1" customHeight="1" spans="1:16">
      <c r="A17" s="263" t="s">
        <v>457</v>
      </c>
      <c r="B17" s="264" t="s">
        <v>223</v>
      </c>
      <c r="C17" s="265">
        <f t="shared" ref="C17:I17" si="4">SUM(C18:C25)</f>
        <v>290</v>
      </c>
      <c r="D17" s="265">
        <f t="shared" si="1"/>
        <v>303</v>
      </c>
      <c r="E17" s="265">
        <f t="shared" si="4"/>
        <v>0</v>
      </c>
      <c r="F17" s="265">
        <f t="shared" si="4"/>
        <v>0</v>
      </c>
      <c r="G17" s="265">
        <f t="shared" si="4"/>
        <v>12</v>
      </c>
      <c r="H17" s="265">
        <f t="shared" si="4"/>
        <v>0</v>
      </c>
      <c r="I17" s="265">
        <f t="shared" si="4"/>
        <v>291</v>
      </c>
      <c r="J17" s="283">
        <f t="shared" si="2"/>
        <v>104.48</v>
      </c>
      <c r="K17" s="284" t="s">
        <v>1082</v>
      </c>
      <c r="L17" s="285"/>
      <c r="M17" s="263" t="s">
        <v>457</v>
      </c>
      <c r="N17" s="263" t="s">
        <v>455</v>
      </c>
      <c r="O17" s="263" t="s">
        <v>457</v>
      </c>
      <c r="P17" s="286" t="s">
        <v>1120</v>
      </c>
    </row>
    <row r="18" s="92" customFormat="1" ht="20.1" customHeight="1" spans="1:16">
      <c r="A18" s="157" t="s">
        <v>1121</v>
      </c>
      <c r="B18" s="266" t="s">
        <v>1086</v>
      </c>
      <c r="C18" s="267">
        <v>272</v>
      </c>
      <c r="D18" s="268">
        <f t="shared" si="1"/>
        <v>237</v>
      </c>
      <c r="E18" s="267"/>
      <c r="F18" s="267"/>
      <c r="G18" s="267">
        <v>12</v>
      </c>
      <c r="H18" s="267"/>
      <c r="I18" s="287">
        <v>225</v>
      </c>
      <c r="J18" s="288">
        <f t="shared" si="2"/>
        <v>87.13</v>
      </c>
      <c r="K18" s="276" t="s">
        <v>1087</v>
      </c>
      <c r="L18" s="33">
        <v>1</v>
      </c>
      <c r="M18" s="157" t="s">
        <v>1121</v>
      </c>
      <c r="N18" s="157"/>
      <c r="O18" s="157" t="s">
        <v>457</v>
      </c>
      <c r="P18" s="164" t="s">
        <v>1088</v>
      </c>
    </row>
    <row r="19" s="92" customFormat="1" ht="20.1" customHeight="1" spans="1:16">
      <c r="A19" s="157" t="s">
        <v>1122</v>
      </c>
      <c r="B19" s="266" t="s">
        <v>1090</v>
      </c>
      <c r="C19" s="267"/>
      <c r="D19" s="268">
        <f t="shared" si="1"/>
        <v>35</v>
      </c>
      <c r="E19" s="267"/>
      <c r="F19" s="267"/>
      <c r="G19" s="267"/>
      <c r="H19" s="267"/>
      <c r="I19" s="287">
        <v>35</v>
      </c>
      <c r="J19" s="288">
        <f t="shared" si="2"/>
        <v>100</v>
      </c>
      <c r="K19" s="276" t="s">
        <v>1087</v>
      </c>
      <c r="L19" s="33">
        <v>1</v>
      </c>
      <c r="M19" s="157" t="s">
        <v>1122</v>
      </c>
      <c r="N19" s="157"/>
      <c r="O19" s="157" t="s">
        <v>457</v>
      </c>
      <c r="P19" s="164" t="s">
        <v>1091</v>
      </c>
    </row>
    <row r="20" s="92" customFormat="1" ht="20.1" customHeight="1" spans="1:16">
      <c r="A20" s="157" t="s">
        <v>1123</v>
      </c>
      <c r="B20" s="269" t="s">
        <v>1093</v>
      </c>
      <c r="C20" s="267"/>
      <c r="D20" s="268">
        <f t="shared" si="1"/>
        <v>0</v>
      </c>
      <c r="E20" s="267"/>
      <c r="F20" s="267"/>
      <c r="G20" s="267"/>
      <c r="H20" s="267"/>
      <c r="I20" s="287"/>
      <c r="J20" s="288">
        <f t="shared" si="2"/>
        <v>0</v>
      </c>
      <c r="K20" s="276" t="s">
        <v>1087</v>
      </c>
      <c r="L20" s="33">
        <v>1</v>
      </c>
      <c r="M20" s="157" t="s">
        <v>1123</v>
      </c>
      <c r="N20" s="157"/>
      <c r="O20" s="157" t="s">
        <v>457</v>
      </c>
      <c r="P20" s="164" t="s">
        <v>1094</v>
      </c>
    </row>
    <row r="21" s="92" customFormat="1" ht="20.1" customHeight="1" spans="1:16">
      <c r="A21" s="157" t="s">
        <v>1124</v>
      </c>
      <c r="B21" s="269" t="s">
        <v>1125</v>
      </c>
      <c r="C21" s="267">
        <v>18</v>
      </c>
      <c r="D21" s="268">
        <f t="shared" si="1"/>
        <v>21</v>
      </c>
      <c r="E21" s="267"/>
      <c r="F21" s="267"/>
      <c r="G21" s="267"/>
      <c r="H21" s="267"/>
      <c r="I21" s="287">
        <v>21</v>
      </c>
      <c r="J21" s="288">
        <f t="shared" si="2"/>
        <v>116.67</v>
      </c>
      <c r="K21" s="276" t="s">
        <v>1087</v>
      </c>
      <c r="L21" s="33">
        <v>1</v>
      </c>
      <c r="M21" s="157" t="s">
        <v>1124</v>
      </c>
      <c r="N21" s="157"/>
      <c r="O21" s="157" t="s">
        <v>457</v>
      </c>
      <c r="P21" s="163" t="s">
        <v>1126</v>
      </c>
    </row>
    <row r="22" s="92" customFormat="1" ht="20.1" customHeight="1" spans="1:16">
      <c r="A22" s="157" t="s">
        <v>1127</v>
      </c>
      <c r="B22" s="269" t="s">
        <v>1128</v>
      </c>
      <c r="C22" s="267"/>
      <c r="D22" s="268">
        <f t="shared" si="1"/>
        <v>0</v>
      </c>
      <c r="E22" s="267"/>
      <c r="F22" s="267"/>
      <c r="G22" s="267"/>
      <c r="H22" s="267"/>
      <c r="I22" s="287"/>
      <c r="J22" s="288">
        <f t="shared" si="2"/>
        <v>0</v>
      </c>
      <c r="K22" s="276" t="s">
        <v>1087</v>
      </c>
      <c r="L22" s="33">
        <v>1</v>
      </c>
      <c r="M22" s="157" t="s">
        <v>1127</v>
      </c>
      <c r="N22" s="157"/>
      <c r="O22" s="157" t="s">
        <v>457</v>
      </c>
      <c r="P22" s="163" t="s">
        <v>1129</v>
      </c>
    </row>
    <row r="23" s="92" customFormat="1" ht="20.1" customHeight="1" spans="1:16">
      <c r="A23" s="157" t="s">
        <v>1130</v>
      </c>
      <c r="B23" s="269" t="s">
        <v>1131</v>
      </c>
      <c r="C23" s="267"/>
      <c r="D23" s="268">
        <f t="shared" si="1"/>
        <v>10</v>
      </c>
      <c r="E23" s="267"/>
      <c r="F23" s="267"/>
      <c r="G23" s="267"/>
      <c r="H23" s="267"/>
      <c r="I23" s="287">
        <v>10</v>
      </c>
      <c r="J23" s="288">
        <f t="shared" si="2"/>
        <v>100</v>
      </c>
      <c r="K23" s="276" t="s">
        <v>1087</v>
      </c>
      <c r="L23" s="33">
        <v>1</v>
      </c>
      <c r="M23" s="157" t="s">
        <v>1130</v>
      </c>
      <c r="N23" s="157"/>
      <c r="O23" s="157" t="s">
        <v>457</v>
      </c>
      <c r="P23" s="164" t="s">
        <v>1132</v>
      </c>
    </row>
    <row r="24" s="92" customFormat="1" ht="20.1" customHeight="1" spans="1:16">
      <c r="A24" s="157" t="s">
        <v>1133</v>
      </c>
      <c r="B24" s="269" t="s">
        <v>1114</v>
      </c>
      <c r="C24" s="267"/>
      <c r="D24" s="268">
        <f t="shared" si="1"/>
        <v>0</v>
      </c>
      <c r="E24" s="267"/>
      <c r="F24" s="267"/>
      <c r="G24" s="267"/>
      <c r="H24" s="267"/>
      <c r="I24" s="287"/>
      <c r="J24" s="288">
        <f t="shared" si="2"/>
        <v>0</v>
      </c>
      <c r="K24" s="276" t="s">
        <v>1087</v>
      </c>
      <c r="L24" s="33">
        <v>1</v>
      </c>
      <c r="M24" s="157" t="s">
        <v>1133</v>
      </c>
      <c r="N24" s="157"/>
      <c r="O24" s="157" t="s">
        <v>457</v>
      </c>
      <c r="P24" s="164" t="s">
        <v>1115</v>
      </c>
    </row>
    <row r="25" s="92" customFormat="1" ht="20.1" customHeight="1" spans="1:16">
      <c r="A25" s="157" t="s">
        <v>1134</v>
      </c>
      <c r="B25" s="269" t="s">
        <v>1135</v>
      </c>
      <c r="C25" s="267"/>
      <c r="D25" s="268">
        <f t="shared" si="1"/>
        <v>0</v>
      </c>
      <c r="E25" s="267"/>
      <c r="F25" s="267"/>
      <c r="G25" s="267"/>
      <c r="H25" s="267"/>
      <c r="I25" s="287"/>
      <c r="J25" s="288">
        <f t="shared" si="2"/>
        <v>0</v>
      </c>
      <c r="K25" s="276" t="s">
        <v>1087</v>
      </c>
      <c r="L25" s="33">
        <v>1</v>
      </c>
      <c r="M25" s="157" t="s">
        <v>1134</v>
      </c>
      <c r="N25" s="157"/>
      <c r="O25" s="157" t="s">
        <v>457</v>
      </c>
      <c r="P25" s="163" t="s">
        <v>1136</v>
      </c>
    </row>
    <row r="26" s="93" customFormat="1" ht="20.1" customHeight="1" spans="1:16">
      <c r="A26" s="263" t="s">
        <v>458</v>
      </c>
      <c r="B26" s="264" t="s">
        <v>224</v>
      </c>
      <c r="C26" s="265">
        <f t="shared" ref="C26:I26" si="5">SUM(C27:C35)</f>
        <v>7979</v>
      </c>
      <c r="D26" s="265">
        <f t="shared" si="1"/>
        <v>10041</v>
      </c>
      <c r="E26" s="265">
        <f t="shared" si="5"/>
        <v>0</v>
      </c>
      <c r="F26" s="265">
        <f t="shared" si="5"/>
        <v>0</v>
      </c>
      <c r="G26" s="265">
        <f t="shared" si="5"/>
        <v>0</v>
      </c>
      <c r="H26" s="265">
        <f t="shared" si="5"/>
        <v>0</v>
      </c>
      <c r="I26" s="265">
        <f t="shared" si="5"/>
        <v>10041</v>
      </c>
      <c r="J26" s="283">
        <f t="shared" si="2"/>
        <v>125.84</v>
      </c>
      <c r="K26" s="284" t="s">
        <v>1082</v>
      </c>
      <c r="L26" s="285"/>
      <c r="M26" s="263" t="s">
        <v>458</v>
      </c>
      <c r="N26" s="263" t="s">
        <v>455</v>
      </c>
      <c r="O26" s="263" t="s">
        <v>458</v>
      </c>
      <c r="P26" s="286" t="s">
        <v>1137</v>
      </c>
    </row>
    <row r="27" s="92" customFormat="1" ht="20.1" customHeight="1" spans="1:16">
      <c r="A27" s="157" t="s">
        <v>1138</v>
      </c>
      <c r="B27" s="266" t="s">
        <v>1086</v>
      </c>
      <c r="C27" s="267">
        <v>6052</v>
      </c>
      <c r="D27" s="268">
        <f t="shared" si="1"/>
        <v>6061</v>
      </c>
      <c r="E27" s="267"/>
      <c r="F27" s="267"/>
      <c r="G27" s="267"/>
      <c r="H27" s="267"/>
      <c r="I27" s="287">
        <v>6061</v>
      </c>
      <c r="J27" s="288">
        <f t="shared" si="2"/>
        <v>100.15</v>
      </c>
      <c r="K27" s="276" t="s">
        <v>1087</v>
      </c>
      <c r="L27" s="33">
        <v>1</v>
      </c>
      <c r="M27" s="157" t="s">
        <v>1138</v>
      </c>
      <c r="N27" s="157"/>
      <c r="O27" s="157" t="s">
        <v>458</v>
      </c>
      <c r="P27" s="164" t="s">
        <v>1088</v>
      </c>
    </row>
    <row r="28" s="92" customFormat="1" ht="20.1" customHeight="1" spans="1:16">
      <c r="A28" s="157" t="s">
        <v>1139</v>
      </c>
      <c r="B28" s="266" t="s">
        <v>1090</v>
      </c>
      <c r="C28" s="267"/>
      <c r="D28" s="268">
        <f t="shared" si="1"/>
        <v>0</v>
      </c>
      <c r="E28" s="267"/>
      <c r="F28" s="267"/>
      <c r="G28" s="267"/>
      <c r="H28" s="267"/>
      <c r="I28" s="287"/>
      <c r="J28" s="288">
        <f t="shared" si="2"/>
        <v>0</v>
      </c>
      <c r="K28" s="276" t="s">
        <v>1087</v>
      </c>
      <c r="L28" s="33">
        <v>1</v>
      </c>
      <c r="M28" s="157" t="s">
        <v>1139</v>
      </c>
      <c r="N28" s="157"/>
      <c r="O28" s="157" t="s">
        <v>458</v>
      </c>
      <c r="P28" s="164" t="s">
        <v>1091</v>
      </c>
    </row>
    <row r="29" s="92" customFormat="1" ht="20.1" customHeight="1" spans="1:16">
      <c r="A29" s="157" t="s">
        <v>1140</v>
      </c>
      <c r="B29" s="269" t="s">
        <v>1093</v>
      </c>
      <c r="C29" s="267">
        <v>1124</v>
      </c>
      <c r="D29" s="268">
        <f t="shared" si="1"/>
        <v>1008</v>
      </c>
      <c r="E29" s="267"/>
      <c r="F29" s="267"/>
      <c r="G29" s="267"/>
      <c r="H29" s="267"/>
      <c r="I29" s="287">
        <v>1008</v>
      </c>
      <c r="J29" s="288">
        <f t="shared" si="2"/>
        <v>89.68</v>
      </c>
      <c r="K29" s="276" t="s">
        <v>1087</v>
      </c>
      <c r="L29" s="33">
        <v>1</v>
      </c>
      <c r="M29" s="157" t="s">
        <v>1140</v>
      </c>
      <c r="N29" s="157"/>
      <c r="O29" s="157" t="s">
        <v>458</v>
      </c>
      <c r="P29" s="164" t="s">
        <v>1094</v>
      </c>
    </row>
    <row r="30" s="92" customFormat="1" ht="20.1" customHeight="1" spans="1:16">
      <c r="A30" s="157" t="s">
        <v>1141</v>
      </c>
      <c r="B30" s="269" t="s">
        <v>1142</v>
      </c>
      <c r="C30" s="267"/>
      <c r="D30" s="268">
        <f t="shared" si="1"/>
        <v>0</v>
      </c>
      <c r="E30" s="267"/>
      <c r="F30" s="267"/>
      <c r="G30" s="267"/>
      <c r="H30" s="267"/>
      <c r="I30" s="287"/>
      <c r="J30" s="288">
        <f t="shared" si="2"/>
        <v>0</v>
      </c>
      <c r="K30" s="276" t="s">
        <v>1087</v>
      </c>
      <c r="L30" s="33">
        <v>1</v>
      </c>
      <c r="M30" s="157" t="s">
        <v>1141</v>
      </c>
      <c r="N30" s="157"/>
      <c r="O30" s="157" t="s">
        <v>458</v>
      </c>
      <c r="P30" s="163" t="s">
        <v>1143</v>
      </c>
    </row>
    <row r="31" s="92" customFormat="1" ht="20.1" customHeight="1" spans="1:16">
      <c r="A31" s="157" t="s">
        <v>1144</v>
      </c>
      <c r="B31" s="269" t="s">
        <v>1145</v>
      </c>
      <c r="C31" s="267"/>
      <c r="D31" s="268">
        <f t="shared" si="1"/>
        <v>0</v>
      </c>
      <c r="E31" s="267"/>
      <c r="F31" s="267"/>
      <c r="G31" s="267"/>
      <c r="H31" s="267"/>
      <c r="I31" s="287"/>
      <c r="J31" s="288">
        <f t="shared" si="2"/>
        <v>0</v>
      </c>
      <c r="K31" s="276" t="s">
        <v>1087</v>
      </c>
      <c r="L31" s="33">
        <v>1</v>
      </c>
      <c r="M31" s="157" t="s">
        <v>1144</v>
      </c>
      <c r="N31" s="157"/>
      <c r="O31" s="157" t="s">
        <v>458</v>
      </c>
      <c r="P31" s="163" t="s">
        <v>1146</v>
      </c>
    </row>
    <row r="32" s="92" customFormat="1" ht="20.1" customHeight="1" spans="1:16">
      <c r="A32" s="157" t="s">
        <v>1147</v>
      </c>
      <c r="B32" s="266" t="s">
        <v>1148</v>
      </c>
      <c r="C32" s="267">
        <v>743</v>
      </c>
      <c r="D32" s="268">
        <f t="shared" si="1"/>
        <v>381</v>
      </c>
      <c r="E32" s="267"/>
      <c r="F32" s="267"/>
      <c r="G32" s="267"/>
      <c r="H32" s="267"/>
      <c r="I32" s="287">
        <v>381</v>
      </c>
      <c r="J32" s="288">
        <f t="shared" si="2"/>
        <v>51.28</v>
      </c>
      <c r="K32" s="276" t="s">
        <v>1087</v>
      </c>
      <c r="L32" s="33">
        <v>1</v>
      </c>
      <c r="M32" s="157" t="s">
        <v>1147</v>
      </c>
      <c r="N32" s="157"/>
      <c r="O32" s="157" t="s">
        <v>458</v>
      </c>
      <c r="P32" s="163" t="s">
        <v>1149</v>
      </c>
    </row>
    <row r="33" s="92" customFormat="1" ht="20.1" customHeight="1" spans="1:16">
      <c r="A33" s="157" t="s">
        <v>1150</v>
      </c>
      <c r="B33" s="269" t="s">
        <v>1151</v>
      </c>
      <c r="C33" s="267"/>
      <c r="D33" s="268">
        <f t="shared" si="1"/>
        <v>0</v>
      </c>
      <c r="E33" s="267"/>
      <c r="F33" s="267"/>
      <c r="G33" s="267"/>
      <c r="H33" s="267"/>
      <c r="I33" s="287"/>
      <c r="J33" s="288">
        <f t="shared" si="2"/>
        <v>0</v>
      </c>
      <c r="K33" s="276" t="s">
        <v>1087</v>
      </c>
      <c r="L33" s="33">
        <v>1</v>
      </c>
      <c r="M33" s="157" t="s">
        <v>1150</v>
      </c>
      <c r="N33" s="157"/>
      <c r="O33" s="157" t="s">
        <v>458</v>
      </c>
      <c r="P33" s="163" t="s">
        <v>1152</v>
      </c>
    </row>
    <row r="34" s="92" customFormat="1" ht="20.1" customHeight="1" spans="1:16">
      <c r="A34" s="157" t="s">
        <v>1153</v>
      </c>
      <c r="B34" s="269" t="s">
        <v>1114</v>
      </c>
      <c r="C34" s="267"/>
      <c r="D34" s="268">
        <f t="shared" si="1"/>
        <v>2559</v>
      </c>
      <c r="E34" s="267"/>
      <c r="F34" s="267"/>
      <c r="G34" s="267"/>
      <c r="H34" s="267"/>
      <c r="I34" s="287">
        <v>2559</v>
      </c>
      <c r="J34" s="288">
        <f t="shared" si="2"/>
        <v>100</v>
      </c>
      <c r="K34" s="276" t="s">
        <v>1087</v>
      </c>
      <c r="L34" s="33">
        <v>1</v>
      </c>
      <c r="M34" s="157" t="s">
        <v>1153</v>
      </c>
      <c r="N34" s="157"/>
      <c r="O34" s="157" t="s">
        <v>458</v>
      </c>
      <c r="P34" s="164" t="s">
        <v>1115</v>
      </c>
    </row>
    <row r="35" s="92" customFormat="1" ht="20.1" customHeight="1" spans="1:16">
      <c r="A35" s="157" t="s">
        <v>1154</v>
      </c>
      <c r="B35" s="269" t="s">
        <v>1155</v>
      </c>
      <c r="C35" s="267">
        <v>60</v>
      </c>
      <c r="D35" s="268">
        <f t="shared" si="1"/>
        <v>32</v>
      </c>
      <c r="E35" s="267"/>
      <c r="F35" s="267"/>
      <c r="G35" s="267"/>
      <c r="H35" s="267"/>
      <c r="I35" s="287">
        <v>32</v>
      </c>
      <c r="J35" s="288">
        <f t="shared" si="2"/>
        <v>53.33</v>
      </c>
      <c r="K35" s="276" t="s">
        <v>1087</v>
      </c>
      <c r="L35" s="33">
        <v>1</v>
      </c>
      <c r="M35" s="157" t="s">
        <v>1154</v>
      </c>
      <c r="N35" s="157"/>
      <c r="O35" s="157" t="s">
        <v>458</v>
      </c>
      <c r="P35" s="163" t="s">
        <v>1156</v>
      </c>
    </row>
    <row r="36" s="93" customFormat="1" ht="20.1" customHeight="1" spans="1:16">
      <c r="A36" s="263" t="s">
        <v>459</v>
      </c>
      <c r="B36" s="264" t="s">
        <v>225</v>
      </c>
      <c r="C36" s="265">
        <f t="shared" ref="C36:I36" si="6">SUM(C37:C46)</f>
        <v>375</v>
      </c>
      <c r="D36" s="265">
        <f t="shared" si="1"/>
        <v>400</v>
      </c>
      <c r="E36" s="265">
        <f t="shared" si="6"/>
        <v>25</v>
      </c>
      <c r="F36" s="265">
        <f t="shared" si="6"/>
        <v>0</v>
      </c>
      <c r="G36" s="265">
        <f t="shared" si="6"/>
        <v>0</v>
      </c>
      <c r="H36" s="265">
        <f t="shared" si="6"/>
        <v>0</v>
      </c>
      <c r="I36" s="265">
        <f t="shared" si="6"/>
        <v>375</v>
      </c>
      <c r="J36" s="283">
        <f t="shared" si="2"/>
        <v>106.67</v>
      </c>
      <c r="K36" s="284" t="s">
        <v>1082</v>
      </c>
      <c r="L36" s="285"/>
      <c r="M36" s="263" t="s">
        <v>459</v>
      </c>
      <c r="N36" s="263" t="s">
        <v>455</v>
      </c>
      <c r="O36" s="263" t="s">
        <v>459</v>
      </c>
      <c r="P36" s="286" t="s">
        <v>1157</v>
      </c>
    </row>
    <row r="37" s="92" customFormat="1" ht="20.1" customHeight="1" spans="1:16">
      <c r="A37" s="157" t="s">
        <v>1158</v>
      </c>
      <c r="B37" s="266" t="s">
        <v>1086</v>
      </c>
      <c r="C37" s="267">
        <v>317</v>
      </c>
      <c r="D37" s="268">
        <f t="shared" si="1"/>
        <v>302</v>
      </c>
      <c r="E37" s="267"/>
      <c r="F37" s="267"/>
      <c r="G37" s="267"/>
      <c r="H37" s="267"/>
      <c r="I37" s="287">
        <v>302</v>
      </c>
      <c r="J37" s="288">
        <f t="shared" si="2"/>
        <v>95.27</v>
      </c>
      <c r="K37" s="276" t="s">
        <v>1087</v>
      </c>
      <c r="L37" s="33">
        <v>1</v>
      </c>
      <c r="M37" s="157" t="s">
        <v>1158</v>
      </c>
      <c r="N37" s="157"/>
      <c r="O37" s="157" t="s">
        <v>459</v>
      </c>
      <c r="P37" s="164" t="s">
        <v>1088</v>
      </c>
    </row>
    <row r="38" s="92" customFormat="1" ht="20.1" customHeight="1" spans="1:16">
      <c r="A38" s="157" t="s">
        <v>1159</v>
      </c>
      <c r="B38" s="266" t="s">
        <v>1090</v>
      </c>
      <c r="C38" s="267"/>
      <c r="D38" s="268">
        <f t="shared" si="1"/>
        <v>0</v>
      </c>
      <c r="E38" s="267"/>
      <c r="F38" s="267"/>
      <c r="G38" s="267"/>
      <c r="H38" s="267"/>
      <c r="I38" s="287"/>
      <c r="J38" s="288">
        <f t="shared" si="2"/>
        <v>0</v>
      </c>
      <c r="K38" s="276" t="s">
        <v>1087</v>
      </c>
      <c r="L38" s="33">
        <v>1</v>
      </c>
      <c r="M38" s="157" t="s">
        <v>1159</v>
      </c>
      <c r="N38" s="157"/>
      <c r="O38" s="157" t="s">
        <v>459</v>
      </c>
      <c r="P38" s="164" t="s">
        <v>1091</v>
      </c>
    </row>
    <row r="39" s="92" customFormat="1" ht="20.1" customHeight="1" spans="1:16">
      <c r="A39" s="157" t="s">
        <v>1160</v>
      </c>
      <c r="B39" s="269" t="s">
        <v>1093</v>
      </c>
      <c r="C39" s="267"/>
      <c r="D39" s="268">
        <f t="shared" si="1"/>
        <v>0</v>
      </c>
      <c r="E39" s="267"/>
      <c r="F39" s="267"/>
      <c r="G39" s="267"/>
      <c r="H39" s="267"/>
      <c r="I39" s="287"/>
      <c r="J39" s="288">
        <f t="shared" si="2"/>
        <v>0</v>
      </c>
      <c r="K39" s="276" t="s">
        <v>1087</v>
      </c>
      <c r="L39" s="33">
        <v>1</v>
      </c>
      <c r="M39" s="157" t="s">
        <v>1160</v>
      </c>
      <c r="N39" s="157"/>
      <c r="O39" s="157" t="s">
        <v>459</v>
      </c>
      <c r="P39" s="164" t="s">
        <v>1094</v>
      </c>
    </row>
    <row r="40" s="92" customFormat="1" ht="20.1" customHeight="1" spans="1:16">
      <c r="A40" s="157" t="s">
        <v>1161</v>
      </c>
      <c r="B40" s="269" t="s">
        <v>1162</v>
      </c>
      <c r="C40" s="267"/>
      <c r="D40" s="268">
        <f t="shared" si="1"/>
        <v>0</v>
      </c>
      <c r="E40" s="267"/>
      <c r="F40" s="267"/>
      <c r="G40" s="267"/>
      <c r="H40" s="267"/>
      <c r="I40" s="287"/>
      <c r="J40" s="288">
        <f t="shared" si="2"/>
        <v>0</v>
      </c>
      <c r="K40" s="276" t="s">
        <v>1087</v>
      </c>
      <c r="L40" s="33">
        <v>1</v>
      </c>
      <c r="M40" s="157" t="s">
        <v>1161</v>
      </c>
      <c r="N40" s="157"/>
      <c r="O40" s="157" t="s">
        <v>459</v>
      </c>
      <c r="P40" s="163" t="s">
        <v>1163</v>
      </c>
    </row>
    <row r="41" s="92" customFormat="1" ht="20.1" customHeight="1" spans="1:16">
      <c r="A41" s="157" t="s">
        <v>1164</v>
      </c>
      <c r="B41" s="269" t="s">
        <v>1165</v>
      </c>
      <c r="C41" s="267"/>
      <c r="D41" s="268">
        <f t="shared" si="1"/>
        <v>0</v>
      </c>
      <c r="E41" s="267"/>
      <c r="F41" s="267"/>
      <c r="G41" s="267"/>
      <c r="H41" s="267"/>
      <c r="I41" s="287"/>
      <c r="J41" s="288">
        <f t="shared" si="2"/>
        <v>0</v>
      </c>
      <c r="K41" s="276" t="s">
        <v>1087</v>
      </c>
      <c r="L41" s="33">
        <v>1</v>
      </c>
      <c r="M41" s="157" t="s">
        <v>1164</v>
      </c>
      <c r="N41" s="157"/>
      <c r="O41" s="157" t="s">
        <v>459</v>
      </c>
      <c r="P41" s="163" t="s">
        <v>1166</v>
      </c>
    </row>
    <row r="42" s="92" customFormat="1" ht="20.1" customHeight="1" spans="1:16">
      <c r="A42" s="157" t="s">
        <v>1167</v>
      </c>
      <c r="B42" s="266" t="s">
        <v>1168</v>
      </c>
      <c r="C42" s="267"/>
      <c r="D42" s="268">
        <f t="shared" si="1"/>
        <v>25</v>
      </c>
      <c r="E42" s="267">
        <v>25</v>
      </c>
      <c r="F42" s="267"/>
      <c r="G42" s="267"/>
      <c r="H42" s="267"/>
      <c r="I42" s="287"/>
      <c r="J42" s="288">
        <f t="shared" si="2"/>
        <v>100</v>
      </c>
      <c r="K42" s="276" t="s">
        <v>1087</v>
      </c>
      <c r="L42" s="33">
        <v>1</v>
      </c>
      <c r="M42" s="157" t="s">
        <v>1167</v>
      </c>
      <c r="N42" s="157"/>
      <c r="O42" s="157" t="s">
        <v>459</v>
      </c>
      <c r="P42" s="163" t="s">
        <v>1169</v>
      </c>
    </row>
    <row r="43" s="92" customFormat="1" ht="20.1" customHeight="1" spans="1:16">
      <c r="A43" s="157" t="s">
        <v>1170</v>
      </c>
      <c r="B43" s="266" t="s">
        <v>1171</v>
      </c>
      <c r="C43" s="267"/>
      <c r="D43" s="268">
        <f t="shared" si="1"/>
        <v>0</v>
      </c>
      <c r="E43" s="267"/>
      <c r="F43" s="267"/>
      <c r="G43" s="267"/>
      <c r="H43" s="267"/>
      <c r="I43" s="287"/>
      <c r="J43" s="288">
        <f t="shared" si="2"/>
        <v>0</v>
      </c>
      <c r="K43" s="276" t="s">
        <v>1087</v>
      </c>
      <c r="L43" s="33">
        <v>1</v>
      </c>
      <c r="M43" s="157" t="s">
        <v>1170</v>
      </c>
      <c r="N43" s="157"/>
      <c r="O43" s="157" t="s">
        <v>459</v>
      </c>
      <c r="P43" s="163" t="s">
        <v>1172</v>
      </c>
    </row>
    <row r="44" s="92" customFormat="1" ht="20.1" customHeight="1" spans="1:16">
      <c r="A44" s="157" t="s">
        <v>1173</v>
      </c>
      <c r="B44" s="266" t="s">
        <v>1174</v>
      </c>
      <c r="C44" s="267"/>
      <c r="D44" s="268">
        <f t="shared" si="1"/>
        <v>0</v>
      </c>
      <c r="E44" s="267"/>
      <c r="F44" s="267"/>
      <c r="G44" s="267"/>
      <c r="H44" s="267"/>
      <c r="I44" s="287"/>
      <c r="J44" s="288">
        <f t="shared" si="2"/>
        <v>0</v>
      </c>
      <c r="K44" s="276" t="s">
        <v>1087</v>
      </c>
      <c r="L44" s="33">
        <v>1</v>
      </c>
      <c r="M44" s="157" t="s">
        <v>1173</v>
      </c>
      <c r="N44" s="157"/>
      <c r="O44" s="157" t="s">
        <v>459</v>
      </c>
      <c r="P44" s="163" t="s">
        <v>1175</v>
      </c>
    </row>
    <row r="45" s="92" customFormat="1" ht="20.1" customHeight="1" spans="1:16">
      <c r="A45" s="157" t="s">
        <v>1176</v>
      </c>
      <c r="B45" s="266" t="s">
        <v>1114</v>
      </c>
      <c r="C45" s="267">
        <v>58</v>
      </c>
      <c r="D45" s="268">
        <f t="shared" si="1"/>
        <v>73</v>
      </c>
      <c r="E45" s="267"/>
      <c r="F45" s="267"/>
      <c r="G45" s="267"/>
      <c r="H45" s="267"/>
      <c r="I45" s="287">
        <v>73</v>
      </c>
      <c r="J45" s="288">
        <f t="shared" si="2"/>
        <v>125.86</v>
      </c>
      <c r="K45" s="276" t="s">
        <v>1087</v>
      </c>
      <c r="L45" s="33">
        <v>1</v>
      </c>
      <c r="M45" s="157" t="s">
        <v>1176</v>
      </c>
      <c r="N45" s="157"/>
      <c r="O45" s="157" t="s">
        <v>459</v>
      </c>
      <c r="P45" s="164" t="s">
        <v>1115</v>
      </c>
    </row>
    <row r="46" s="92" customFormat="1" ht="20.1" customHeight="1" spans="1:16">
      <c r="A46" s="157" t="s">
        <v>1177</v>
      </c>
      <c r="B46" s="269" t="s">
        <v>1178</v>
      </c>
      <c r="C46" s="267"/>
      <c r="D46" s="268">
        <f t="shared" si="1"/>
        <v>0</v>
      </c>
      <c r="E46" s="267"/>
      <c r="F46" s="267"/>
      <c r="G46" s="267"/>
      <c r="H46" s="267"/>
      <c r="I46" s="287"/>
      <c r="J46" s="288">
        <f t="shared" si="2"/>
        <v>0</v>
      </c>
      <c r="K46" s="276" t="s">
        <v>1087</v>
      </c>
      <c r="L46" s="33">
        <v>1</v>
      </c>
      <c r="M46" s="157" t="s">
        <v>1177</v>
      </c>
      <c r="N46" s="157"/>
      <c r="O46" s="157" t="s">
        <v>459</v>
      </c>
      <c r="P46" s="163" t="s">
        <v>1179</v>
      </c>
    </row>
    <row r="47" s="93" customFormat="1" ht="20.1" customHeight="1" spans="1:16">
      <c r="A47" s="263" t="s">
        <v>460</v>
      </c>
      <c r="B47" s="264" t="s">
        <v>226</v>
      </c>
      <c r="C47" s="265">
        <f t="shared" ref="C47:I47" si="7">SUM(C48:C57)</f>
        <v>385</v>
      </c>
      <c r="D47" s="265">
        <f t="shared" si="1"/>
        <v>344</v>
      </c>
      <c r="E47" s="265">
        <f t="shared" si="7"/>
        <v>0</v>
      </c>
      <c r="F47" s="265">
        <f t="shared" si="7"/>
        <v>0</v>
      </c>
      <c r="G47" s="265">
        <f t="shared" si="7"/>
        <v>11</v>
      </c>
      <c r="H47" s="265">
        <f t="shared" si="7"/>
        <v>0</v>
      </c>
      <c r="I47" s="265">
        <f t="shared" si="7"/>
        <v>333</v>
      </c>
      <c r="J47" s="283">
        <f t="shared" si="2"/>
        <v>89.35</v>
      </c>
      <c r="K47" s="284" t="s">
        <v>1082</v>
      </c>
      <c r="L47" s="285"/>
      <c r="M47" s="263" t="s">
        <v>460</v>
      </c>
      <c r="N47" s="263" t="s">
        <v>455</v>
      </c>
      <c r="O47" s="263" t="s">
        <v>460</v>
      </c>
      <c r="P47" s="286" t="s">
        <v>1180</v>
      </c>
    </row>
    <row r="48" s="92" customFormat="1" ht="20.1" customHeight="1" spans="1:16">
      <c r="A48" s="157" t="s">
        <v>1181</v>
      </c>
      <c r="B48" s="269" t="s">
        <v>1086</v>
      </c>
      <c r="C48" s="267">
        <v>246</v>
      </c>
      <c r="D48" s="268">
        <f t="shared" si="1"/>
        <v>225</v>
      </c>
      <c r="E48" s="267"/>
      <c r="F48" s="267"/>
      <c r="G48" s="267"/>
      <c r="H48" s="267"/>
      <c r="I48" s="287">
        <v>225</v>
      </c>
      <c r="J48" s="288">
        <f t="shared" si="2"/>
        <v>91.46</v>
      </c>
      <c r="K48" s="276" t="s">
        <v>1087</v>
      </c>
      <c r="L48" s="33">
        <v>1</v>
      </c>
      <c r="M48" s="157" t="s">
        <v>1181</v>
      </c>
      <c r="N48" s="157"/>
      <c r="O48" s="157" t="s">
        <v>460</v>
      </c>
      <c r="P48" s="164" t="s">
        <v>1088</v>
      </c>
    </row>
    <row r="49" s="92" customFormat="1" ht="20.1" customHeight="1" spans="1:16">
      <c r="A49" s="157" t="s">
        <v>1182</v>
      </c>
      <c r="B49" s="36" t="s">
        <v>1090</v>
      </c>
      <c r="C49" s="267"/>
      <c r="D49" s="268">
        <f t="shared" si="1"/>
        <v>0</v>
      </c>
      <c r="E49" s="267"/>
      <c r="F49" s="267"/>
      <c r="G49" s="267"/>
      <c r="H49" s="267"/>
      <c r="I49" s="287"/>
      <c r="J49" s="288">
        <f t="shared" si="2"/>
        <v>0</v>
      </c>
      <c r="K49" s="276" t="s">
        <v>1087</v>
      </c>
      <c r="L49" s="33">
        <v>1</v>
      </c>
      <c r="M49" s="157" t="s">
        <v>1182</v>
      </c>
      <c r="N49" s="157"/>
      <c r="O49" s="157" t="s">
        <v>460</v>
      </c>
      <c r="P49" s="164" t="s">
        <v>1091</v>
      </c>
    </row>
    <row r="50" s="92" customFormat="1" ht="20.1" customHeight="1" spans="1:16">
      <c r="A50" s="157" t="s">
        <v>1183</v>
      </c>
      <c r="B50" s="266" t="s">
        <v>1093</v>
      </c>
      <c r="C50" s="267"/>
      <c r="D50" s="268">
        <f t="shared" si="1"/>
        <v>0</v>
      </c>
      <c r="E50" s="267"/>
      <c r="F50" s="267"/>
      <c r="G50" s="267"/>
      <c r="H50" s="267"/>
      <c r="I50" s="287"/>
      <c r="J50" s="288">
        <f t="shared" si="2"/>
        <v>0</v>
      </c>
      <c r="K50" s="276" t="s">
        <v>1087</v>
      </c>
      <c r="L50" s="33">
        <v>1</v>
      </c>
      <c r="M50" s="157" t="s">
        <v>1183</v>
      </c>
      <c r="N50" s="157"/>
      <c r="O50" s="157" t="s">
        <v>460</v>
      </c>
      <c r="P50" s="164" t="s">
        <v>1094</v>
      </c>
    </row>
    <row r="51" s="92" customFormat="1" ht="20.1" customHeight="1" spans="1:16">
      <c r="A51" s="157" t="s">
        <v>1184</v>
      </c>
      <c r="B51" s="266" t="s">
        <v>1185</v>
      </c>
      <c r="C51" s="267"/>
      <c r="D51" s="268">
        <f t="shared" si="1"/>
        <v>0</v>
      </c>
      <c r="E51" s="267"/>
      <c r="F51" s="267"/>
      <c r="G51" s="267"/>
      <c r="H51" s="267"/>
      <c r="I51" s="287"/>
      <c r="J51" s="288">
        <f t="shared" si="2"/>
        <v>0</v>
      </c>
      <c r="K51" s="276" t="s">
        <v>1087</v>
      </c>
      <c r="L51" s="33">
        <v>1</v>
      </c>
      <c r="M51" s="157" t="s">
        <v>1184</v>
      </c>
      <c r="N51" s="157"/>
      <c r="O51" s="157" t="s">
        <v>460</v>
      </c>
      <c r="P51" s="163" t="s">
        <v>1186</v>
      </c>
    </row>
    <row r="52" s="92" customFormat="1" ht="20.1" customHeight="1" spans="1:16">
      <c r="A52" s="157" t="s">
        <v>1187</v>
      </c>
      <c r="B52" s="266" t="s">
        <v>1188</v>
      </c>
      <c r="C52" s="267"/>
      <c r="D52" s="268">
        <f t="shared" si="1"/>
        <v>41</v>
      </c>
      <c r="E52" s="267"/>
      <c r="F52" s="267"/>
      <c r="G52" s="267"/>
      <c r="H52" s="267"/>
      <c r="I52" s="287">
        <v>41</v>
      </c>
      <c r="J52" s="288">
        <f t="shared" si="2"/>
        <v>100</v>
      </c>
      <c r="K52" s="276" t="s">
        <v>1087</v>
      </c>
      <c r="L52" s="33">
        <v>1</v>
      </c>
      <c r="M52" s="157" t="s">
        <v>1187</v>
      </c>
      <c r="N52" s="157"/>
      <c r="O52" s="157" t="s">
        <v>460</v>
      </c>
      <c r="P52" s="163" t="s">
        <v>1189</v>
      </c>
    </row>
    <row r="53" s="92" customFormat="1" ht="20.1" customHeight="1" spans="1:16">
      <c r="A53" s="157" t="s">
        <v>1190</v>
      </c>
      <c r="B53" s="269" t="s">
        <v>1191</v>
      </c>
      <c r="C53" s="267">
        <v>103</v>
      </c>
      <c r="D53" s="268">
        <f t="shared" si="1"/>
        <v>35</v>
      </c>
      <c r="E53" s="267"/>
      <c r="F53" s="267"/>
      <c r="G53" s="267"/>
      <c r="H53" s="267"/>
      <c r="I53" s="287">
        <v>35</v>
      </c>
      <c r="J53" s="288">
        <f t="shared" si="2"/>
        <v>33.98</v>
      </c>
      <c r="K53" s="276" t="s">
        <v>1087</v>
      </c>
      <c r="L53" s="33">
        <v>1</v>
      </c>
      <c r="M53" s="157" t="s">
        <v>1190</v>
      </c>
      <c r="N53" s="157"/>
      <c r="O53" s="157" t="s">
        <v>460</v>
      </c>
      <c r="P53" s="163" t="s">
        <v>1192</v>
      </c>
    </row>
    <row r="54" s="92" customFormat="1" ht="20.1" customHeight="1" spans="1:16">
      <c r="A54" s="157" t="s">
        <v>1193</v>
      </c>
      <c r="B54" s="269" t="s">
        <v>1194</v>
      </c>
      <c r="C54" s="267">
        <v>4</v>
      </c>
      <c r="D54" s="268">
        <f t="shared" si="1"/>
        <v>11</v>
      </c>
      <c r="E54" s="267"/>
      <c r="F54" s="267"/>
      <c r="G54" s="267">
        <v>11</v>
      </c>
      <c r="H54" s="267"/>
      <c r="I54" s="287"/>
      <c r="J54" s="288">
        <f t="shared" si="2"/>
        <v>275</v>
      </c>
      <c r="K54" s="276" t="s">
        <v>1087</v>
      </c>
      <c r="L54" s="33">
        <v>1</v>
      </c>
      <c r="M54" s="157" t="s">
        <v>1193</v>
      </c>
      <c r="N54" s="157"/>
      <c r="O54" s="157" t="s">
        <v>460</v>
      </c>
      <c r="P54" s="163" t="s">
        <v>1195</v>
      </c>
    </row>
    <row r="55" s="92" customFormat="1" ht="20.1" customHeight="1" spans="1:16">
      <c r="A55" s="157" t="s">
        <v>1196</v>
      </c>
      <c r="B55" s="269" t="s">
        <v>1197</v>
      </c>
      <c r="C55" s="267">
        <v>32</v>
      </c>
      <c r="D55" s="268">
        <f t="shared" si="1"/>
        <v>32</v>
      </c>
      <c r="E55" s="267"/>
      <c r="F55" s="267"/>
      <c r="G55" s="267"/>
      <c r="H55" s="267"/>
      <c r="I55" s="287">
        <v>32</v>
      </c>
      <c r="J55" s="288">
        <f t="shared" si="2"/>
        <v>100</v>
      </c>
      <c r="K55" s="276" t="s">
        <v>1087</v>
      </c>
      <c r="L55" s="33">
        <v>1</v>
      </c>
      <c r="M55" s="157" t="s">
        <v>1196</v>
      </c>
      <c r="N55" s="157"/>
      <c r="O55" s="157" t="s">
        <v>460</v>
      </c>
      <c r="P55" s="163" t="s">
        <v>1198</v>
      </c>
    </row>
    <row r="56" s="92" customFormat="1" ht="20.1" customHeight="1" spans="1:16">
      <c r="A56" s="157" t="s">
        <v>1199</v>
      </c>
      <c r="B56" s="266" t="s">
        <v>1114</v>
      </c>
      <c r="C56" s="267"/>
      <c r="D56" s="268">
        <f t="shared" si="1"/>
        <v>0</v>
      </c>
      <c r="E56" s="267"/>
      <c r="F56" s="267"/>
      <c r="G56" s="267"/>
      <c r="H56" s="267"/>
      <c r="I56" s="287"/>
      <c r="J56" s="288">
        <f t="shared" si="2"/>
        <v>0</v>
      </c>
      <c r="K56" s="276" t="s">
        <v>1087</v>
      </c>
      <c r="L56" s="33">
        <v>1</v>
      </c>
      <c r="M56" s="157" t="s">
        <v>1199</v>
      </c>
      <c r="N56" s="157"/>
      <c r="O56" s="157" t="s">
        <v>460</v>
      </c>
      <c r="P56" s="164" t="s">
        <v>1115</v>
      </c>
    </row>
    <row r="57" s="92" customFormat="1" ht="20.1" customHeight="1" spans="1:16">
      <c r="A57" s="157" t="s">
        <v>1200</v>
      </c>
      <c r="B57" s="266" t="s">
        <v>1201</v>
      </c>
      <c r="C57" s="267"/>
      <c r="D57" s="268">
        <f t="shared" si="1"/>
        <v>0</v>
      </c>
      <c r="E57" s="267"/>
      <c r="F57" s="267"/>
      <c r="G57" s="267"/>
      <c r="H57" s="267"/>
      <c r="I57" s="287"/>
      <c r="J57" s="288">
        <f t="shared" si="2"/>
        <v>0</v>
      </c>
      <c r="K57" s="276" t="s">
        <v>1087</v>
      </c>
      <c r="L57" s="33">
        <v>1</v>
      </c>
      <c r="M57" s="157" t="s">
        <v>1200</v>
      </c>
      <c r="N57" s="157"/>
      <c r="O57" s="157" t="s">
        <v>460</v>
      </c>
      <c r="P57" s="163" t="s">
        <v>1202</v>
      </c>
    </row>
    <row r="58" s="93" customFormat="1" ht="20.1" customHeight="1" spans="1:16">
      <c r="A58" s="263" t="s">
        <v>461</v>
      </c>
      <c r="B58" s="264" t="s">
        <v>227</v>
      </c>
      <c r="C58" s="265">
        <f t="shared" ref="C58:I58" si="8">SUM(C59:C68)</f>
        <v>1260</v>
      </c>
      <c r="D58" s="265">
        <f t="shared" si="1"/>
        <v>858</v>
      </c>
      <c r="E58" s="265">
        <f t="shared" si="8"/>
        <v>0</v>
      </c>
      <c r="F58" s="265">
        <f t="shared" si="8"/>
        <v>0</v>
      </c>
      <c r="G58" s="265">
        <f t="shared" si="8"/>
        <v>24</v>
      </c>
      <c r="H58" s="265">
        <f t="shared" si="8"/>
        <v>0</v>
      </c>
      <c r="I58" s="265">
        <f t="shared" si="8"/>
        <v>834</v>
      </c>
      <c r="J58" s="283">
        <f t="shared" si="2"/>
        <v>68.1</v>
      </c>
      <c r="K58" s="284" t="s">
        <v>1082</v>
      </c>
      <c r="L58" s="285"/>
      <c r="M58" s="263" t="s">
        <v>461</v>
      </c>
      <c r="N58" s="263" t="s">
        <v>455</v>
      </c>
      <c r="O58" s="263" t="s">
        <v>461</v>
      </c>
      <c r="P58" s="286" t="s">
        <v>1203</v>
      </c>
    </row>
    <row r="59" s="92" customFormat="1" ht="20.1" customHeight="1" spans="1:16">
      <c r="A59" s="157" t="s">
        <v>1204</v>
      </c>
      <c r="B59" s="269" t="s">
        <v>1086</v>
      </c>
      <c r="C59" s="267">
        <v>365</v>
      </c>
      <c r="D59" s="268">
        <f t="shared" si="1"/>
        <v>533</v>
      </c>
      <c r="E59" s="267"/>
      <c r="F59" s="267"/>
      <c r="G59" s="267"/>
      <c r="H59" s="267"/>
      <c r="I59" s="287">
        <v>533</v>
      </c>
      <c r="J59" s="288">
        <f t="shared" si="2"/>
        <v>146.03</v>
      </c>
      <c r="K59" s="276" t="s">
        <v>1087</v>
      </c>
      <c r="L59" s="33">
        <v>1</v>
      </c>
      <c r="M59" s="157" t="s">
        <v>1204</v>
      </c>
      <c r="N59" s="157"/>
      <c r="O59" s="157" t="s">
        <v>461</v>
      </c>
      <c r="P59" s="164" t="s">
        <v>1088</v>
      </c>
    </row>
    <row r="60" s="92" customFormat="1" ht="20.1" customHeight="1" spans="1:16">
      <c r="A60" s="157" t="s">
        <v>1205</v>
      </c>
      <c r="B60" s="36" t="s">
        <v>1090</v>
      </c>
      <c r="C60" s="267">
        <v>652</v>
      </c>
      <c r="D60" s="268">
        <f t="shared" si="1"/>
        <v>31</v>
      </c>
      <c r="E60" s="267"/>
      <c r="F60" s="267"/>
      <c r="G60" s="267"/>
      <c r="H60" s="267"/>
      <c r="I60" s="287">
        <v>31</v>
      </c>
      <c r="J60" s="288">
        <f t="shared" si="2"/>
        <v>4.75</v>
      </c>
      <c r="K60" s="276" t="s">
        <v>1087</v>
      </c>
      <c r="L60" s="33">
        <v>1</v>
      </c>
      <c r="M60" s="157" t="s">
        <v>1205</v>
      </c>
      <c r="N60" s="157"/>
      <c r="O60" s="157" t="s">
        <v>461</v>
      </c>
      <c r="P60" s="164" t="s">
        <v>1091</v>
      </c>
    </row>
    <row r="61" s="92" customFormat="1" ht="20.1" customHeight="1" spans="1:16">
      <c r="A61" s="157" t="s">
        <v>1206</v>
      </c>
      <c r="B61" s="36" t="s">
        <v>1093</v>
      </c>
      <c r="C61" s="267"/>
      <c r="D61" s="268">
        <f t="shared" si="1"/>
        <v>0</v>
      </c>
      <c r="E61" s="267"/>
      <c r="F61" s="267"/>
      <c r="G61" s="267"/>
      <c r="H61" s="267"/>
      <c r="I61" s="287"/>
      <c r="J61" s="288">
        <f t="shared" si="2"/>
        <v>0</v>
      </c>
      <c r="K61" s="276" t="s">
        <v>1087</v>
      </c>
      <c r="L61" s="33">
        <v>1</v>
      </c>
      <c r="M61" s="157" t="s">
        <v>1206</v>
      </c>
      <c r="N61" s="157"/>
      <c r="O61" s="157" t="s">
        <v>461</v>
      </c>
      <c r="P61" s="164" t="s">
        <v>1094</v>
      </c>
    </row>
    <row r="62" s="92" customFormat="1" ht="20.1" customHeight="1" spans="1:16">
      <c r="A62" s="157" t="s">
        <v>1207</v>
      </c>
      <c r="B62" s="36" t="s">
        <v>1208</v>
      </c>
      <c r="C62" s="267">
        <v>34</v>
      </c>
      <c r="D62" s="268">
        <f t="shared" si="1"/>
        <v>50</v>
      </c>
      <c r="E62" s="267"/>
      <c r="F62" s="267"/>
      <c r="G62" s="267"/>
      <c r="H62" s="267"/>
      <c r="I62" s="287">
        <v>50</v>
      </c>
      <c r="J62" s="288">
        <f t="shared" si="2"/>
        <v>147.06</v>
      </c>
      <c r="K62" s="276" t="s">
        <v>1087</v>
      </c>
      <c r="L62" s="33">
        <v>1</v>
      </c>
      <c r="M62" s="157" t="s">
        <v>1207</v>
      </c>
      <c r="N62" s="157"/>
      <c r="O62" s="157" t="s">
        <v>461</v>
      </c>
      <c r="P62" s="163" t="s">
        <v>1209</v>
      </c>
    </row>
    <row r="63" s="92" customFormat="1" ht="20.1" customHeight="1" spans="1:16">
      <c r="A63" s="157" t="s">
        <v>1210</v>
      </c>
      <c r="B63" s="36" t="s">
        <v>1211</v>
      </c>
      <c r="C63" s="267">
        <v>10</v>
      </c>
      <c r="D63" s="268">
        <f t="shared" si="1"/>
        <v>22</v>
      </c>
      <c r="E63" s="267"/>
      <c r="F63" s="267"/>
      <c r="G63" s="267"/>
      <c r="H63" s="267"/>
      <c r="I63" s="287">
        <v>22</v>
      </c>
      <c r="J63" s="288">
        <f t="shared" si="2"/>
        <v>220</v>
      </c>
      <c r="K63" s="276" t="s">
        <v>1087</v>
      </c>
      <c r="L63" s="33">
        <v>1</v>
      </c>
      <c r="M63" s="157" t="s">
        <v>1210</v>
      </c>
      <c r="N63" s="157"/>
      <c r="O63" s="157" t="s">
        <v>461</v>
      </c>
      <c r="P63" s="163" t="s">
        <v>1212</v>
      </c>
    </row>
    <row r="64" s="92" customFormat="1" ht="20.1" customHeight="1" spans="1:16">
      <c r="A64" s="157" t="s">
        <v>1213</v>
      </c>
      <c r="B64" s="36" t="s">
        <v>1214</v>
      </c>
      <c r="C64" s="267"/>
      <c r="D64" s="268">
        <f t="shared" si="1"/>
        <v>0</v>
      </c>
      <c r="E64" s="267"/>
      <c r="F64" s="267"/>
      <c r="G64" s="267"/>
      <c r="H64" s="267"/>
      <c r="I64" s="287"/>
      <c r="J64" s="288">
        <f t="shared" si="2"/>
        <v>0</v>
      </c>
      <c r="K64" s="276" t="s">
        <v>1087</v>
      </c>
      <c r="L64" s="33">
        <v>1</v>
      </c>
      <c r="M64" s="157" t="s">
        <v>1213</v>
      </c>
      <c r="N64" s="157"/>
      <c r="O64" s="157" t="s">
        <v>461</v>
      </c>
      <c r="P64" s="163" t="s">
        <v>1215</v>
      </c>
    </row>
    <row r="65" s="92" customFormat="1" ht="20.1" customHeight="1" spans="1:16">
      <c r="A65" s="157" t="s">
        <v>1216</v>
      </c>
      <c r="B65" s="266" t="s">
        <v>1217</v>
      </c>
      <c r="C65" s="267">
        <v>63</v>
      </c>
      <c r="D65" s="268">
        <f t="shared" si="1"/>
        <v>146</v>
      </c>
      <c r="E65" s="267"/>
      <c r="F65" s="267"/>
      <c r="G65" s="267">
        <v>24</v>
      </c>
      <c r="H65" s="267"/>
      <c r="I65" s="287">
        <v>122</v>
      </c>
      <c r="J65" s="288">
        <f t="shared" si="2"/>
        <v>231.75</v>
      </c>
      <c r="K65" s="276" t="s">
        <v>1087</v>
      </c>
      <c r="L65" s="33">
        <v>1</v>
      </c>
      <c r="M65" s="157" t="s">
        <v>1216</v>
      </c>
      <c r="N65" s="157"/>
      <c r="O65" s="157" t="s">
        <v>461</v>
      </c>
      <c r="P65" s="164" t="s">
        <v>1218</v>
      </c>
    </row>
    <row r="66" s="92" customFormat="1" ht="20.1" customHeight="1" spans="1:16">
      <c r="A66" s="157" t="s">
        <v>1219</v>
      </c>
      <c r="B66" s="269" t="s">
        <v>1220</v>
      </c>
      <c r="C66" s="267">
        <v>28</v>
      </c>
      <c r="D66" s="268">
        <f t="shared" si="1"/>
        <v>40</v>
      </c>
      <c r="E66" s="267"/>
      <c r="F66" s="267"/>
      <c r="G66" s="267"/>
      <c r="H66" s="267"/>
      <c r="I66" s="287">
        <v>40</v>
      </c>
      <c r="J66" s="288">
        <f t="shared" si="2"/>
        <v>142.86</v>
      </c>
      <c r="K66" s="276" t="s">
        <v>1087</v>
      </c>
      <c r="L66" s="33">
        <v>1</v>
      </c>
      <c r="M66" s="157" t="s">
        <v>1219</v>
      </c>
      <c r="N66" s="157"/>
      <c r="O66" s="157" t="s">
        <v>461</v>
      </c>
      <c r="P66" s="163" t="s">
        <v>1221</v>
      </c>
    </row>
    <row r="67" s="92" customFormat="1" ht="20.1" customHeight="1" spans="1:16">
      <c r="A67" s="157" t="s">
        <v>1222</v>
      </c>
      <c r="B67" s="269" t="s">
        <v>1114</v>
      </c>
      <c r="C67" s="267">
        <v>18</v>
      </c>
      <c r="D67" s="268">
        <f t="shared" si="1"/>
        <v>19</v>
      </c>
      <c r="E67" s="267"/>
      <c r="F67" s="267"/>
      <c r="G67" s="267"/>
      <c r="H67" s="267"/>
      <c r="I67" s="287">
        <v>19</v>
      </c>
      <c r="J67" s="288">
        <f t="shared" si="2"/>
        <v>105.56</v>
      </c>
      <c r="K67" s="276" t="s">
        <v>1087</v>
      </c>
      <c r="L67" s="33">
        <v>1</v>
      </c>
      <c r="M67" s="157" t="s">
        <v>1222</v>
      </c>
      <c r="N67" s="157"/>
      <c r="O67" s="157" t="s">
        <v>461</v>
      </c>
      <c r="P67" s="164" t="s">
        <v>1115</v>
      </c>
    </row>
    <row r="68" s="92" customFormat="1" ht="20.1" customHeight="1" spans="1:16">
      <c r="A68" s="157" t="s">
        <v>1223</v>
      </c>
      <c r="B68" s="269" t="s">
        <v>1224</v>
      </c>
      <c r="C68" s="267">
        <v>90</v>
      </c>
      <c r="D68" s="268">
        <f t="shared" ref="D68:D131" si="9">SUM(E68:I68)</f>
        <v>17</v>
      </c>
      <c r="E68" s="267"/>
      <c r="F68" s="267"/>
      <c r="G68" s="267"/>
      <c r="H68" s="267"/>
      <c r="I68" s="287">
        <v>17</v>
      </c>
      <c r="J68" s="288">
        <f t="shared" ref="J68:J73" si="10">ROUND(IF(C68=0,IF(D68=0,0,1),IF(D68=0,-1,D68/C68)),4)*100</f>
        <v>18.89</v>
      </c>
      <c r="K68" s="276" t="s">
        <v>1087</v>
      </c>
      <c r="L68" s="33">
        <v>1</v>
      </c>
      <c r="M68" s="157" t="s">
        <v>1223</v>
      </c>
      <c r="N68" s="157"/>
      <c r="O68" s="157" t="s">
        <v>461</v>
      </c>
      <c r="P68" s="163" t="s">
        <v>1225</v>
      </c>
    </row>
    <row r="69" s="93" customFormat="1" ht="20.1" customHeight="1" spans="1:16">
      <c r="A69" s="263" t="s">
        <v>462</v>
      </c>
      <c r="B69" s="264" t="s">
        <v>228</v>
      </c>
      <c r="C69" s="265">
        <f t="shared" ref="C69:I69" si="11">SUM(C70:C76)</f>
        <v>668</v>
      </c>
      <c r="D69" s="265">
        <f t="shared" si="9"/>
        <v>417</v>
      </c>
      <c r="E69" s="265">
        <f t="shared" si="11"/>
        <v>0</v>
      </c>
      <c r="F69" s="265">
        <f t="shared" si="11"/>
        <v>0</v>
      </c>
      <c r="G69" s="265">
        <f t="shared" si="11"/>
        <v>0</v>
      </c>
      <c r="H69" s="265">
        <f t="shared" si="11"/>
        <v>0</v>
      </c>
      <c r="I69" s="265">
        <f t="shared" si="11"/>
        <v>417</v>
      </c>
      <c r="J69" s="283">
        <f t="shared" si="10"/>
        <v>62.43</v>
      </c>
      <c r="K69" s="284" t="s">
        <v>1082</v>
      </c>
      <c r="L69" s="285"/>
      <c r="M69" s="263" t="s">
        <v>462</v>
      </c>
      <c r="N69" s="263" t="s">
        <v>455</v>
      </c>
      <c r="O69" s="263" t="s">
        <v>462</v>
      </c>
      <c r="P69" s="286" t="s">
        <v>1226</v>
      </c>
    </row>
    <row r="70" s="92" customFormat="1" ht="20.1" customHeight="1" spans="1:16">
      <c r="A70" s="157" t="s">
        <v>1227</v>
      </c>
      <c r="B70" s="266" t="s">
        <v>1086</v>
      </c>
      <c r="C70" s="267"/>
      <c r="D70" s="268">
        <f t="shared" si="9"/>
        <v>0</v>
      </c>
      <c r="E70" s="267"/>
      <c r="F70" s="267"/>
      <c r="G70" s="267"/>
      <c r="H70" s="267"/>
      <c r="I70" s="287"/>
      <c r="J70" s="288">
        <f t="shared" si="10"/>
        <v>0</v>
      </c>
      <c r="K70" s="276" t="s">
        <v>1087</v>
      </c>
      <c r="L70" s="33">
        <v>1</v>
      </c>
      <c r="M70" s="157" t="s">
        <v>1227</v>
      </c>
      <c r="N70" s="157"/>
      <c r="O70" s="157" t="s">
        <v>462</v>
      </c>
      <c r="P70" s="164" t="s">
        <v>1088</v>
      </c>
    </row>
    <row r="71" s="92" customFormat="1" ht="20.1" customHeight="1" spans="1:16">
      <c r="A71" s="157" t="s">
        <v>1228</v>
      </c>
      <c r="B71" s="266" t="s">
        <v>1090</v>
      </c>
      <c r="C71" s="267">
        <v>668</v>
      </c>
      <c r="D71" s="268">
        <f t="shared" si="9"/>
        <v>417</v>
      </c>
      <c r="E71" s="267"/>
      <c r="F71" s="267"/>
      <c r="G71" s="267"/>
      <c r="H71" s="267"/>
      <c r="I71" s="287">
        <v>417</v>
      </c>
      <c r="J71" s="288">
        <f t="shared" si="10"/>
        <v>62.43</v>
      </c>
      <c r="K71" s="276" t="s">
        <v>1087</v>
      </c>
      <c r="L71" s="33">
        <v>1</v>
      </c>
      <c r="M71" s="157" t="s">
        <v>1228</v>
      </c>
      <c r="N71" s="157"/>
      <c r="O71" s="157" t="s">
        <v>462</v>
      </c>
      <c r="P71" s="164" t="s">
        <v>1091</v>
      </c>
    </row>
    <row r="72" s="92" customFormat="1" ht="20.1" customHeight="1" spans="1:16">
      <c r="A72" s="157" t="s">
        <v>1229</v>
      </c>
      <c r="B72" s="269" t="s">
        <v>1093</v>
      </c>
      <c r="C72" s="267"/>
      <c r="D72" s="268">
        <f t="shared" si="9"/>
        <v>0</v>
      </c>
      <c r="E72" s="267"/>
      <c r="F72" s="267"/>
      <c r="G72" s="267"/>
      <c r="H72" s="267"/>
      <c r="I72" s="287"/>
      <c r="J72" s="288">
        <f t="shared" si="10"/>
        <v>0</v>
      </c>
      <c r="K72" s="276" t="s">
        <v>1087</v>
      </c>
      <c r="L72" s="33">
        <v>1</v>
      </c>
      <c r="M72" s="157" t="s">
        <v>1229</v>
      </c>
      <c r="N72" s="157"/>
      <c r="O72" s="157" t="s">
        <v>462</v>
      </c>
      <c r="P72" s="164" t="s">
        <v>1094</v>
      </c>
    </row>
    <row r="73" s="92" customFormat="1" ht="20.1" customHeight="1" spans="1:16">
      <c r="A73" s="157" t="s">
        <v>1230</v>
      </c>
      <c r="B73" s="266" t="s">
        <v>1217</v>
      </c>
      <c r="C73" s="267"/>
      <c r="D73" s="268">
        <f t="shared" si="9"/>
        <v>0</v>
      </c>
      <c r="E73" s="267"/>
      <c r="F73" s="267"/>
      <c r="G73" s="267"/>
      <c r="H73" s="267"/>
      <c r="I73" s="287"/>
      <c r="J73" s="288">
        <f t="shared" si="10"/>
        <v>0</v>
      </c>
      <c r="K73" s="276" t="s">
        <v>1087</v>
      </c>
      <c r="L73" s="33">
        <v>1</v>
      </c>
      <c r="M73" s="157" t="s">
        <v>1230</v>
      </c>
      <c r="N73" s="157"/>
      <c r="O73" s="157" t="s">
        <v>462</v>
      </c>
      <c r="P73" s="164" t="s">
        <v>1218</v>
      </c>
    </row>
    <row r="74" s="92" customFormat="1" ht="20.1" customHeight="1" spans="1:16">
      <c r="A74" s="157" t="s">
        <v>1231</v>
      </c>
      <c r="B74" s="266" t="s">
        <v>1232</v>
      </c>
      <c r="C74" s="267"/>
      <c r="D74" s="268">
        <f t="shared" si="9"/>
        <v>0</v>
      </c>
      <c r="E74" s="267"/>
      <c r="F74" s="267"/>
      <c r="G74" s="267"/>
      <c r="H74" s="267"/>
      <c r="I74" s="287"/>
      <c r="J74" s="288"/>
      <c r="K74" s="276" t="s">
        <v>1087</v>
      </c>
      <c r="L74" s="33">
        <v>1</v>
      </c>
      <c r="M74" s="157" t="s">
        <v>1231</v>
      </c>
      <c r="N74" s="157"/>
      <c r="O74" s="157" t="s">
        <v>462</v>
      </c>
      <c r="P74" s="164" t="s">
        <v>1233</v>
      </c>
    </row>
    <row r="75" s="92" customFormat="1" ht="20.1" customHeight="1" spans="1:16">
      <c r="A75" s="157" t="s">
        <v>1234</v>
      </c>
      <c r="B75" s="269" t="s">
        <v>1114</v>
      </c>
      <c r="C75" s="267"/>
      <c r="D75" s="268">
        <f t="shared" si="9"/>
        <v>0</v>
      </c>
      <c r="E75" s="267"/>
      <c r="F75" s="267"/>
      <c r="G75" s="267"/>
      <c r="H75" s="267"/>
      <c r="I75" s="287"/>
      <c r="J75" s="288">
        <f t="shared" ref="J75:J138" si="12">ROUND(IF(C75=0,IF(D75=0,0,1),IF(D75=0,-1,D75/C75)),4)*100</f>
        <v>0</v>
      </c>
      <c r="K75" s="276" t="s">
        <v>1087</v>
      </c>
      <c r="L75" s="33">
        <v>1</v>
      </c>
      <c r="M75" s="157" t="s">
        <v>1234</v>
      </c>
      <c r="N75" s="157"/>
      <c r="O75" s="157" t="s">
        <v>462</v>
      </c>
      <c r="P75" s="164" t="s">
        <v>1115</v>
      </c>
    </row>
    <row r="76" s="92" customFormat="1" ht="20.1" customHeight="1" spans="1:16">
      <c r="A76" s="157" t="s">
        <v>1235</v>
      </c>
      <c r="B76" s="269" t="s">
        <v>1236</v>
      </c>
      <c r="C76" s="267"/>
      <c r="D76" s="268">
        <f t="shared" si="9"/>
        <v>0</v>
      </c>
      <c r="E76" s="267"/>
      <c r="F76" s="267"/>
      <c r="G76" s="267"/>
      <c r="H76" s="267"/>
      <c r="I76" s="287"/>
      <c r="J76" s="288">
        <f t="shared" si="12"/>
        <v>0</v>
      </c>
      <c r="K76" s="276" t="s">
        <v>1087</v>
      </c>
      <c r="L76" s="33">
        <v>1</v>
      </c>
      <c r="M76" s="157" t="s">
        <v>1235</v>
      </c>
      <c r="N76" s="157"/>
      <c r="O76" s="157" t="s">
        <v>462</v>
      </c>
      <c r="P76" s="163" t="s">
        <v>1237</v>
      </c>
    </row>
    <row r="77" s="93" customFormat="1" ht="20.1" customHeight="1" spans="1:16">
      <c r="A77" s="263" t="s">
        <v>463</v>
      </c>
      <c r="B77" s="264" t="s">
        <v>229</v>
      </c>
      <c r="C77" s="265">
        <f t="shared" ref="C77:I77" si="13">SUM(C78:C85)</f>
        <v>216</v>
      </c>
      <c r="D77" s="265">
        <f t="shared" si="9"/>
        <v>215</v>
      </c>
      <c r="E77" s="265">
        <f t="shared" si="13"/>
        <v>0</v>
      </c>
      <c r="F77" s="265">
        <f t="shared" si="13"/>
        <v>0</v>
      </c>
      <c r="G77" s="265">
        <f t="shared" si="13"/>
        <v>2</v>
      </c>
      <c r="H77" s="265">
        <f t="shared" si="13"/>
        <v>0</v>
      </c>
      <c r="I77" s="265">
        <f t="shared" si="13"/>
        <v>213</v>
      </c>
      <c r="J77" s="283">
        <f t="shared" si="12"/>
        <v>99.54</v>
      </c>
      <c r="K77" s="284" t="s">
        <v>1082</v>
      </c>
      <c r="L77" s="285"/>
      <c r="M77" s="263" t="s">
        <v>463</v>
      </c>
      <c r="N77" s="263" t="s">
        <v>455</v>
      </c>
      <c r="O77" s="263" t="s">
        <v>463</v>
      </c>
      <c r="P77" s="286" t="s">
        <v>1238</v>
      </c>
    </row>
    <row r="78" s="92" customFormat="1" ht="20.1" customHeight="1" spans="1:16">
      <c r="A78" s="157" t="s">
        <v>1239</v>
      </c>
      <c r="B78" s="266" t="s">
        <v>1086</v>
      </c>
      <c r="C78" s="267">
        <v>197</v>
      </c>
      <c r="D78" s="268">
        <f t="shared" si="9"/>
        <v>209</v>
      </c>
      <c r="E78" s="267"/>
      <c r="F78" s="267"/>
      <c r="G78" s="267"/>
      <c r="H78" s="267"/>
      <c r="I78" s="287">
        <v>209</v>
      </c>
      <c r="J78" s="288">
        <f t="shared" si="12"/>
        <v>106.09</v>
      </c>
      <c r="K78" s="276" t="s">
        <v>1087</v>
      </c>
      <c r="L78" s="33">
        <v>1</v>
      </c>
      <c r="M78" s="157" t="s">
        <v>1239</v>
      </c>
      <c r="N78" s="157"/>
      <c r="O78" s="157" t="s">
        <v>463</v>
      </c>
      <c r="P78" s="164" t="s">
        <v>1088</v>
      </c>
    </row>
    <row r="79" s="92" customFormat="1" ht="20.1" customHeight="1" spans="1:16">
      <c r="A79" s="157" t="s">
        <v>1240</v>
      </c>
      <c r="B79" s="266" t="s">
        <v>1090</v>
      </c>
      <c r="C79" s="267"/>
      <c r="D79" s="268">
        <f t="shared" si="9"/>
        <v>0</v>
      </c>
      <c r="E79" s="267"/>
      <c r="F79" s="267"/>
      <c r="G79" s="267"/>
      <c r="H79" s="267"/>
      <c r="I79" s="287"/>
      <c r="J79" s="288">
        <f t="shared" si="12"/>
        <v>0</v>
      </c>
      <c r="K79" s="276" t="s">
        <v>1087</v>
      </c>
      <c r="L79" s="33">
        <v>1</v>
      </c>
      <c r="M79" s="157" t="s">
        <v>1240</v>
      </c>
      <c r="N79" s="157"/>
      <c r="O79" s="157" t="s">
        <v>463</v>
      </c>
      <c r="P79" s="164" t="s">
        <v>1091</v>
      </c>
    </row>
    <row r="80" s="92" customFormat="1" ht="20.1" customHeight="1" spans="1:16">
      <c r="A80" s="157" t="s">
        <v>1241</v>
      </c>
      <c r="B80" s="266" t="s">
        <v>1093</v>
      </c>
      <c r="C80" s="267"/>
      <c r="D80" s="268">
        <f t="shared" si="9"/>
        <v>0</v>
      </c>
      <c r="E80" s="267"/>
      <c r="F80" s="267"/>
      <c r="G80" s="267"/>
      <c r="H80" s="267"/>
      <c r="I80" s="287"/>
      <c r="J80" s="288">
        <f t="shared" si="12"/>
        <v>0</v>
      </c>
      <c r="K80" s="276" t="s">
        <v>1087</v>
      </c>
      <c r="L80" s="33">
        <v>1</v>
      </c>
      <c r="M80" s="157" t="s">
        <v>1241</v>
      </c>
      <c r="N80" s="157"/>
      <c r="O80" s="157" t="s">
        <v>463</v>
      </c>
      <c r="P80" s="164" t="s">
        <v>1094</v>
      </c>
    </row>
    <row r="81" s="92" customFormat="1" ht="20.1" customHeight="1" spans="1:16">
      <c r="A81" s="157" t="s">
        <v>1242</v>
      </c>
      <c r="B81" s="269" t="s">
        <v>1243</v>
      </c>
      <c r="C81" s="267">
        <v>4</v>
      </c>
      <c r="D81" s="268">
        <f t="shared" si="9"/>
        <v>4</v>
      </c>
      <c r="E81" s="267"/>
      <c r="F81" s="267"/>
      <c r="G81" s="267"/>
      <c r="H81" s="267"/>
      <c r="I81" s="287">
        <v>4</v>
      </c>
      <c r="J81" s="288">
        <f t="shared" si="12"/>
        <v>100</v>
      </c>
      <c r="K81" s="276" t="s">
        <v>1087</v>
      </c>
      <c r="L81" s="33">
        <v>1</v>
      </c>
      <c r="M81" s="157" t="s">
        <v>1242</v>
      </c>
      <c r="N81" s="157"/>
      <c r="O81" s="157" t="s">
        <v>463</v>
      </c>
      <c r="P81" s="163" t="s">
        <v>1244</v>
      </c>
    </row>
    <row r="82" s="92" customFormat="1" ht="20.1" customHeight="1" spans="1:16">
      <c r="A82" s="157" t="s">
        <v>1245</v>
      </c>
      <c r="B82" s="269" t="s">
        <v>1246</v>
      </c>
      <c r="C82" s="267"/>
      <c r="D82" s="268">
        <f t="shared" si="9"/>
        <v>0</v>
      </c>
      <c r="E82" s="267"/>
      <c r="F82" s="267"/>
      <c r="G82" s="267"/>
      <c r="H82" s="267"/>
      <c r="I82" s="287"/>
      <c r="J82" s="288">
        <f t="shared" si="12"/>
        <v>0</v>
      </c>
      <c r="K82" s="276" t="s">
        <v>1087</v>
      </c>
      <c r="L82" s="33">
        <v>1</v>
      </c>
      <c r="M82" s="157" t="s">
        <v>1245</v>
      </c>
      <c r="N82" s="157"/>
      <c r="O82" s="157" t="s">
        <v>463</v>
      </c>
      <c r="P82" s="163" t="s">
        <v>1247</v>
      </c>
    </row>
    <row r="83" s="92" customFormat="1" ht="20.1" customHeight="1" spans="1:16">
      <c r="A83" s="157" t="s">
        <v>1248</v>
      </c>
      <c r="B83" s="269" t="s">
        <v>1217</v>
      </c>
      <c r="C83" s="267"/>
      <c r="D83" s="268">
        <f t="shared" si="9"/>
        <v>0</v>
      </c>
      <c r="E83" s="267"/>
      <c r="F83" s="267"/>
      <c r="G83" s="267"/>
      <c r="H83" s="267"/>
      <c r="I83" s="287"/>
      <c r="J83" s="288">
        <f t="shared" si="12"/>
        <v>0</v>
      </c>
      <c r="K83" s="276" t="s">
        <v>1087</v>
      </c>
      <c r="L83" s="33">
        <v>1</v>
      </c>
      <c r="M83" s="157" t="s">
        <v>1248</v>
      </c>
      <c r="N83" s="157"/>
      <c r="O83" s="157" t="s">
        <v>463</v>
      </c>
      <c r="P83" s="164" t="s">
        <v>1218</v>
      </c>
    </row>
    <row r="84" s="92" customFormat="1" ht="20.1" customHeight="1" spans="1:16">
      <c r="A84" s="157" t="s">
        <v>1249</v>
      </c>
      <c r="B84" s="269" t="s">
        <v>1114</v>
      </c>
      <c r="C84" s="267"/>
      <c r="D84" s="268">
        <f t="shared" si="9"/>
        <v>0</v>
      </c>
      <c r="E84" s="267"/>
      <c r="F84" s="267"/>
      <c r="G84" s="267"/>
      <c r="H84" s="267"/>
      <c r="I84" s="287"/>
      <c r="J84" s="288">
        <f t="shared" si="12"/>
        <v>0</v>
      </c>
      <c r="K84" s="276" t="s">
        <v>1087</v>
      </c>
      <c r="L84" s="33">
        <v>1</v>
      </c>
      <c r="M84" s="157" t="s">
        <v>1249</v>
      </c>
      <c r="N84" s="157"/>
      <c r="O84" s="157" t="s">
        <v>463</v>
      </c>
      <c r="P84" s="164" t="s">
        <v>1115</v>
      </c>
    </row>
    <row r="85" s="92" customFormat="1" ht="20.1" customHeight="1" spans="1:16">
      <c r="A85" s="157" t="s">
        <v>1250</v>
      </c>
      <c r="B85" s="36" t="s">
        <v>1251</v>
      </c>
      <c r="C85" s="267">
        <v>15</v>
      </c>
      <c r="D85" s="268">
        <f t="shared" si="9"/>
        <v>2</v>
      </c>
      <c r="E85" s="267"/>
      <c r="F85" s="267"/>
      <c r="G85" s="267">
        <v>2</v>
      </c>
      <c r="H85" s="267"/>
      <c r="I85" s="287"/>
      <c r="J85" s="288">
        <f t="shared" si="12"/>
        <v>13.33</v>
      </c>
      <c r="K85" s="276" t="s">
        <v>1087</v>
      </c>
      <c r="L85" s="33">
        <v>1</v>
      </c>
      <c r="M85" s="157" t="s">
        <v>1250</v>
      </c>
      <c r="N85" s="157"/>
      <c r="O85" s="157" t="s">
        <v>463</v>
      </c>
      <c r="P85" s="163" t="s">
        <v>1252</v>
      </c>
    </row>
    <row r="86" s="93" customFormat="1" ht="20.1" customHeight="1" spans="1:16">
      <c r="A86" s="263" t="s">
        <v>464</v>
      </c>
      <c r="B86" s="264" t="s">
        <v>230</v>
      </c>
      <c r="C86" s="265">
        <v>0</v>
      </c>
      <c r="D86" s="265">
        <f t="shared" si="9"/>
        <v>0</v>
      </c>
      <c r="E86" s="265">
        <f t="shared" ref="E86:H86" si="14">SUM(E87:E98)</f>
        <v>0</v>
      </c>
      <c r="F86" s="265">
        <f t="shared" si="14"/>
        <v>0</v>
      </c>
      <c r="G86" s="265">
        <f>VLOOKUP(A86,[1]√表四、2024年公共财政支出变动表!$A$7:$R$214,18,FALSE)</f>
        <v>0</v>
      </c>
      <c r="H86" s="265">
        <f t="shared" si="14"/>
        <v>0</v>
      </c>
      <c r="I86" s="265"/>
      <c r="J86" s="283">
        <f t="shared" si="12"/>
        <v>0</v>
      </c>
      <c r="K86" s="284" t="s">
        <v>1082</v>
      </c>
      <c r="L86" s="285"/>
      <c r="M86" s="263" t="s">
        <v>464</v>
      </c>
      <c r="N86" s="263" t="s">
        <v>455</v>
      </c>
      <c r="O86" s="263" t="s">
        <v>464</v>
      </c>
      <c r="P86" s="286" t="s">
        <v>1253</v>
      </c>
    </row>
    <row r="87" s="92" customFormat="1" ht="20.1" customHeight="1" spans="1:16">
      <c r="A87" s="157" t="s">
        <v>1254</v>
      </c>
      <c r="B87" s="266" t="s">
        <v>1086</v>
      </c>
      <c r="C87" s="267">
        <v>0</v>
      </c>
      <c r="D87" s="268">
        <f t="shared" si="9"/>
        <v>0</v>
      </c>
      <c r="E87" s="267"/>
      <c r="F87" s="267"/>
      <c r="G87" s="267"/>
      <c r="H87" s="267"/>
      <c r="I87" s="287"/>
      <c r="J87" s="288">
        <f t="shared" si="12"/>
        <v>0</v>
      </c>
      <c r="K87" s="276" t="s">
        <v>1087</v>
      </c>
      <c r="L87" s="33">
        <v>1</v>
      </c>
      <c r="M87" s="157" t="s">
        <v>1254</v>
      </c>
      <c r="N87" s="157"/>
      <c r="O87" s="157" t="s">
        <v>464</v>
      </c>
      <c r="P87" s="164" t="s">
        <v>1088</v>
      </c>
    </row>
    <row r="88" s="92" customFormat="1" ht="20.1" customHeight="1" spans="1:16">
      <c r="A88" s="157" t="s">
        <v>1255</v>
      </c>
      <c r="B88" s="269" t="s">
        <v>1090</v>
      </c>
      <c r="C88" s="267">
        <v>0</v>
      </c>
      <c r="D88" s="268">
        <f t="shared" si="9"/>
        <v>0</v>
      </c>
      <c r="E88" s="267"/>
      <c r="F88" s="267"/>
      <c r="G88" s="267"/>
      <c r="H88" s="267"/>
      <c r="I88" s="287"/>
      <c r="J88" s="288">
        <f t="shared" si="12"/>
        <v>0</v>
      </c>
      <c r="K88" s="276" t="s">
        <v>1087</v>
      </c>
      <c r="L88" s="33">
        <v>1</v>
      </c>
      <c r="M88" s="157" t="s">
        <v>1255</v>
      </c>
      <c r="N88" s="157"/>
      <c r="O88" s="157" t="s">
        <v>464</v>
      </c>
      <c r="P88" s="164" t="s">
        <v>1091</v>
      </c>
    </row>
    <row r="89" s="92" customFormat="1" ht="20.1" customHeight="1" spans="1:16">
      <c r="A89" s="157" t="s">
        <v>1256</v>
      </c>
      <c r="B89" s="269" t="s">
        <v>1093</v>
      </c>
      <c r="C89" s="267">
        <v>0</v>
      </c>
      <c r="D89" s="268">
        <f t="shared" si="9"/>
        <v>0</v>
      </c>
      <c r="E89" s="267"/>
      <c r="F89" s="267"/>
      <c r="G89" s="267"/>
      <c r="H89" s="267"/>
      <c r="I89" s="287"/>
      <c r="J89" s="288">
        <f t="shared" si="12"/>
        <v>0</v>
      </c>
      <c r="K89" s="276" t="s">
        <v>1087</v>
      </c>
      <c r="L89" s="33">
        <v>1</v>
      </c>
      <c r="M89" s="157" t="s">
        <v>1256</v>
      </c>
      <c r="N89" s="157"/>
      <c r="O89" s="157" t="s">
        <v>464</v>
      </c>
      <c r="P89" s="164" t="s">
        <v>1094</v>
      </c>
    </row>
    <row r="90" s="92" customFormat="1" ht="20.1" customHeight="1" spans="1:16">
      <c r="A90" s="157" t="s">
        <v>1257</v>
      </c>
      <c r="B90" s="266" t="s">
        <v>1258</v>
      </c>
      <c r="C90" s="267">
        <v>0</v>
      </c>
      <c r="D90" s="268">
        <f t="shared" si="9"/>
        <v>0</v>
      </c>
      <c r="E90" s="267"/>
      <c r="F90" s="267"/>
      <c r="G90" s="267"/>
      <c r="H90" s="267"/>
      <c r="I90" s="287"/>
      <c r="J90" s="288">
        <f t="shared" si="12"/>
        <v>0</v>
      </c>
      <c r="K90" s="276" t="s">
        <v>1087</v>
      </c>
      <c r="L90" s="33">
        <v>1</v>
      </c>
      <c r="M90" s="157" t="s">
        <v>1257</v>
      </c>
      <c r="N90" s="157"/>
      <c r="O90" s="157" t="s">
        <v>464</v>
      </c>
      <c r="P90" s="164" t="s">
        <v>1259</v>
      </c>
    </row>
    <row r="91" s="92" customFormat="1" ht="20.1" customHeight="1" spans="1:16">
      <c r="A91" s="157" t="s">
        <v>1260</v>
      </c>
      <c r="B91" s="266" t="s">
        <v>1261</v>
      </c>
      <c r="C91" s="267">
        <v>0</v>
      </c>
      <c r="D91" s="268">
        <f t="shared" si="9"/>
        <v>0</v>
      </c>
      <c r="E91" s="267"/>
      <c r="F91" s="267"/>
      <c r="G91" s="267"/>
      <c r="H91" s="267"/>
      <c r="I91" s="287"/>
      <c r="J91" s="288">
        <f t="shared" si="12"/>
        <v>0</v>
      </c>
      <c r="K91" s="276" t="s">
        <v>1087</v>
      </c>
      <c r="L91" s="33">
        <v>1</v>
      </c>
      <c r="M91" s="157" t="s">
        <v>1260</v>
      </c>
      <c r="N91" s="157"/>
      <c r="O91" s="157" t="s">
        <v>464</v>
      </c>
      <c r="P91" s="164" t="s">
        <v>1262</v>
      </c>
    </row>
    <row r="92" s="92" customFormat="1" ht="20.1" customHeight="1" spans="1:16">
      <c r="A92" s="157" t="s">
        <v>1263</v>
      </c>
      <c r="B92" s="266" t="s">
        <v>1217</v>
      </c>
      <c r="C92" s="267">
        <v>0</v>
      </c>
      <c r="D92" s="268">
        <f t="shared" si="9"/>
        <v>0</v>
      </c>
      <c r="E92" s="267"/>
      <c r="F92" s="267"/>
      <c r="G92" s="267"/>
      <c r="H92" s="267"/>
      <c r="I92" s="287"/>
      <c r="J92" s="288">
        <f t="shared" si="12"/>
        <v>0</v>
      </c>
      <c r="K92" s="276" t="s">
        <v>1087</v>
      </c>
      <c r="L92" s="33">
        <v>1</v>
      </c>
      <c r="M92" s="157" t="s">
        <v>1263</v>
      </c>
      <c r="N92" s="157"/>
      <c r="O92" s="157" t="s">
        <v>464</v>
      </c>
      <c r="P92" s="164" t="s">
        <v>1218</v>
      </c>
    </row>
    <row r="93" s="92" customFormat="1" ht="20.1" customHeight="1" spans="1:16">
      <c r="A93" s="157" t="s">
        <v>1264</v>
      </c>
      <c r="B93" s="266" t="s">
        <v>1265</v>
      </c>
      <c r="C93" s="267">
        <v>0</v>
      </c>
      <c r="D93" s="268">
        <f t="shared" si="9"/>
        <v>0</v>
      </c>
      <c r="E93" s="267"/>
      <c r="F93" s="267"/>
      <c r="G93" s="267"/>
      <c r="H93" s="267"/>
      <c r="I93" s="287"/>
      <c r="J93" s="288">
        <f t="shared" si="12"/>
        <v>0</v>
      </c>
      <c r="K93" s="276" t="s">
        <v>1087</v>
      </c>
      <c r="L93" s="33">
        <v>1</v>
      </c>
      <c r="M93" s="157" t="s">
        <v>1264</v>
      </c>
      <c r="N93" s="157"/>
      <c r="O93" s="157" t="s">
        <v>464</v>
      </c>
      <c r="P93" s="164" t="s">
        <v>1266</v>
      </c>
    </row>
    <row r="94" s="92" customFormat="1" ht="20.1" customHeight="1" spans="1:16">
      <c r="A94" s="157" t="s">
        <v>1267</v>
      </c>
      <c r="B94" s="266" t="s">
        <v>1268</v>
      </c>
      <c r="C94" s="267">
        <v>0</v>
      </c>
      <c r="D94" s="268">
        <f t="shared" si="9"/>
        <v>0</v>
      </c>
      <c r="E94" s="267"/>
      <c r="F94" s="267"/>
      <c r="G94" s="267"/>
      <c r="H94" s="267"/>
      <c r="I94" s="287"/>
      <c r="J94" s="288">
        <f t="shared" si="12"/>
        <v>0</v>
      </c>
      <c r="K94" s="276" t="s">
        <v>1087</v>
      </c>
      <c r="L94" s="33">
        <v>1</v>
      </c>
      <c r="M94" s="157" t="s">
        <v>1267</v>
      </c>
      <c r="N94" s="157"/>
      <c r="O94" s="157" t="s">
        <v>464</v>
      </c>
      <c r="P94" s="164" t="s">
        <v>1269</v>
      </c>
    </row>
    <row r="95" s="92" customFormat="1" ht="20.1" customHeight="1" spans="1:16">
      <c r="A95" s="157" t="s">
        <v>1270</v>
      </c>
      <c r="B95" s="266" t="s">
        <v>1271</v>
      </c>
      <c r="C95" s="267">
        <v>0</v>
      </c>
      <c r="D95" s="268">
        <f t="shared" si="9"/>
        <v>0</v>
      </c>
      <c r="E95" s="267"/>
      <c r="F95" s="267"/>
      <c r="G95" s="267"/>
      <c r="H95" s="267"/>
      <c r="I95" s="287"/>
      <c r="J95" s="288">
        <f t="shared" si="12"/>
        <v>0</v>
      </c>
      <c r="K95" s="276" t="s">
        <v>1087</v>
      </c>
      <c r="L95" s="33">
        <v>1</v>
      </c>
      <c r="M95" s="157" t="s">
        <v>1270</v>
      </c>
      <c r="N95" s="157"/>
      <c r="O95" s="157" t="s">
        <v>464</v>
      </c>
      <c r="P95" s="164" t="s">
        <v>1272</v>
      </c>
    </row>
    <row r="96" s="92" customFormat="1" ht="20.1" customHeight="1" spans="1:16">
      <c r="A96" s="157" t="s">
        <v>1273</v>
      </c>
      <c r="B96" s="266" t="s">
        <v>1274</v>
      </c>
      <c r="C96" s="267">
        <v>0</v>
      </c>
      <c r="D96" s="268">
        <f t="shared" si="9"/>
        <v>0</v>
      </c>
      <c r="E96" s="267"/>
      <c r="F96" s="267"/>
      <c r="G96" s="267"/>
      <c r="H96" s="267"/>
      <c r="I96" s="287"/>
      <c r="J96" s="288">
        <f t="shared" si="12"/>
        <v>0</v>
      </c>
      <c r="K96" s="276" t="s">
        <v>1087</v>
      </c>
      <c r="L96" s="33">
        <v>1</v>
      </c>
      <c r="M96" s="157" t="s">
        <v>1273</v>
      </c>
      <c r="N96" s="157"/>
      <c r="O96" s="157" t="s">
        <v>464</v>
      </c>
      <c r="P96" s="164" t="s">
        <v>1275</v>
      </c>
    </row>
    <row r="97" s="92" customFormat="1" ht="20.1" customHeight="1" spans="1:16">
      <c r="A97" s="157" t="s">
        <v>1276</v>
      </c>
      <c r="B97" s="269" t="s">
        <v>1114</v>
      </c>
      <c r="C97" s="267">
        <v>0</v>
      </c>
      <c r="D97" s="268">
        <f t="shared" si="9"/>
        <v>0</v>
      </c>
      <c r="E97" s="267"/>
      <c r="F97" s="267"/>
      <c r="G97" s="267"/>
      <c r="H97" s="267"/>
      <c r="I97" s="287"/>
      <c r="J97" s="288">
        <f t="shared" si="12"/>
        <v>0</v>
      </c>
      <c r="K97" s="276" t="s">
        <v>1087</v>
      </c>
      <c r="L97" s="33">
        <v>1</v>
      </c>
      <c r="M97" s="157" t="s">
        <v>1276</v>
      </c>
      <c r="N97" s="157"/>
      <c r="O97" s="157" t="s">
        <v>464</v>
      </c>
      <c r="P97" s="164" t="s">
        <v>1115</v>
      </c>
    </row>
    <row r="98" s="92" customFormat="1" ht="20.1" customHeight="1" spans="1:16">
      <c r="A98" s="157" t="s">
        <v>1277</v>
      </c>
      <c r="B98" s="269" t="s">
        <v>1278</v>
      </c>
      <c r="C98" s="267">
        <v>0</v>
      </c>
      <c r="D98" s="268">
        <f t="shared" si="9"/>
        <v>0</v>
      </c>
      <c r="E98" s="267"/>
      <c r="F98" s="267"/>
      <c r="G98" s="267"/>
      <c r="H98" s="267"/>
      <c r="I98" s="287"/>
      <c r="J98" s="288">
        <f t="shared" si="12"/>
        <v>0</v>
      </c>
      <c r="K98" s="276" t="s">
        <v>1087</v>
      </c>
      <c r="L98" s="33">
        <v>1</v>
      </c>
      <c r="M98" s="157" t="s">
        <v>1277</v>
      </c>
      <c r="N98" s="157"/>
      <c r="O98" s="157" t="s">
        <v>464</v>
      </c>
      <c r="P98" s="164" t="s">
        <v>1279</v>
      </c>
    </row>
    <row r="99" s="93" customFormat="1" ht="20.1" customHeight="1" spans="1:16">
      <c r="A99" s="263" t="s">
        <v>466</v>
      </c>
      <c r="B99" s="264" t="s">
        <v>232</v>
      </c>
      <c r="C99" s="265">
        <f t="shared" ref="C99:I99" si="15">SUM(C100:C107)</f>
        <v>1513</v>
      </c>
      <c r="D99" s="265">
        <f t="shared" si="9"/>
        <v>1505</v>
      </c>
      <c r="E99" s="265">
        <f t="shared" si="15"/>
        <v>0</v>
      </c>
      <c r="F99" s="265">
        <f t="shared" si="15"/>
        <v>0</v>
      </c>
      <c r="G99" s="265">
        <f t="shared" si="15"/>
        <v>9</v>
      </c>
      <c r="H99" s="265">
        <f t="shared" si="15"/>
        <v>0</v>
      </c>
      <c r="I99" s="265">
        <f t="shared" si="15"/>
        <v>1496</v>
      </c>
      <c r="J99" s="283">
        <f t="shared" si="12"/>
        <v>99.47</v>
      </c>
      <c r="K99" s="284" t="s">
        <v>1082</v>
      </c>
      <c r="L99" s="285"/>
      <c r="M99" s="263" t="s">
        <v>466</v>
      </c>
      <c r="N99" s="263" t="s">
        <v>455</v>
      </c>
      <c r="O99" s="263" t="s">
        <v>466</v>
      </c>
      <c r="P99" s="286" t="s">
        <v>1280</v>
      </c>
    </row>
    <row r="100" s="92" customFormat="1" ht="20.1" customHeight="1" spans="1:16">
      <c r="A100" s="157" t="s">
        <v>1281</v>
      </c>
      <c r="B100" s="266" t="s">
        <v>1086</v>
      </c>
      <c r="C100" s="267">
        <v>1112</v>
      </c>
      <c r="D100" s="268">
        <f t="shared" si="9"/>
        <v>1168</v>
      </c>
      <c r="E100" s="267"/>
      <c r="F100" s="267"/>
      <c r="G100" s="267"/>
      <c r="H100" s="267"/>
      <c r="I100" s="287">
        <v>1168</v>
      </c>
      <c r="J100" s="288">
        <f t="shared" si="12"/>
        <v>105.04</v>
      </c>
      <c r="K100" s="276" t="s">
        <v>1087</v>
      </c>
      <c r="L100" s="33">
        <v>1</v>
      </c>
      <c r="M100" s="157" t="s">
        <v>1281</v>
      </c>
      <c r="N100" s="157"/>
      <c r="O100" s="157" t="s">
        <v>466</v>
      </c>
      <c r="P100" s="164" t="s">
        <v>1088</v>
      </c>
    </row>
    <row r="101" s="92" customFormat="1" ht="20.1" customHeight="1" spans="1:16">
      <c r="A101" s="157" t="s">
        <v>1282</v>
      </c>
      <c r="B101" s="266" t="s">
        <v>1090</v>
      </c>
      <c r="C101" s="267"/>
      <c r="D101" s="268">
        <f t="shared" si="9"/>
        <v>0</v>
      </c>
      <c r="E101" s="267"/>
      <c r="F101" s="267"/>
      <c r="G101" s="267"/>
      <c r="H101" s="267"/>
      <c r="I101" s="287"/>
      <c r="J101" s="288">
        <f t="shared" si="12"/>
        <v>0</v>
      </c>
      <c r="K101" s="276" t="s">
        <v>1087</v>
      </c>
      <c r="L101" s="33">
        <v>1</v>
      </c>
      <c r="M101" s="157" t="s">
        <v>1282</v>
      </c>
      <c r="N101" s="157"/>
      <c r="O101" s="157" t="s">
        <v>466</v>
      </c>
      <c r="P101" s="164" t="s">
        <v>1091</v>
      </c>
    </row>
    <row r="102" s="92" customFormat="1" ht="20.1" customHeight="1" spans="1:16">
      <c r="A102" s="157" t="s">
        <v>1283</v>
      </c>
      <c r="B102" s="266" t="s">
        <v>1093</v>
      </c>
      <c r="C102" s="267"/>
      <c r="D102" s="268">
        <f t="shared" si="9"/>
        <v>0</v>
      </c>
      <c r="E102" s="267"/>
      <c r="F102" s="267"/>
      <c r="G102" s="267"/>
      <c r="H102" s="267"/>
      <c r="I102" s="287"/>
      <c r="J102" s="288">
        <f t="shared" si="12"/>
        <v>0</v>
      </c>
      <c r="K102" s="276" t="s">
        <v>1087</v>
      </c>
      <c r="L102" s="33">
        <v>1</v>
      </c>
      <c r="M102" s="157" t="s">
        <v>1283</v>
      </c>
      <c r="N102" s="157"/>
      <c r="O102" s="157" t="s">
        <v>466</v>
      </c>
      <c r="P102" s="164" t="s">
        <v>1094</v>
      </c>
    </row>
    <row r="103" s="92" customFormat="1" ht="20.1" customHeight="1" spans="1:16">
      <c r="A103" s="157" t="s">
        <v>1284</v>
      </c>
      <c r="B103" s="269" t="s">
        <v>1285</v>
      </c>
      <c r="C103" s="267"/>
      <c r="D103" s="268">
        <f t="shared" si="9"/>
        <v>0</v>
      </c>
      <c r="E103" s="267"/>
      <c r="F103" s="267"/>
      <c r="G103" s="267"/>
      <c r="H103" s="267"/>
      <c r="I103" s="287"/>
      <c r="J103" s="288">
        <f t="shared" si="12"/>
        <v>0</v>
      </c>
      <c r="K103" s="276" t="s">
        <v>1087</v>
      </c>
      <c r="L103" s="33">
        <v>1</v>
      </c>
      <c r="M103" s="157" t="s">
        <v>1284</v>
      </c>
      <c r="N103" s="157"/>
      <c r="O103" s="157" t="s">
        <v>466</v>
      </c>
      <c r="P103" s="163" t="s">
        <v>1286</v>
      </c>
    </row>
    <row r="104" s="92" customFormat="1" ht="20.1" customHeight="1" spans="1:16">
      <c r="A104" s="157" t="s">
        <v>1287</v>
      </c>
      <c r="B104" s="269" t="s">
        <v>1288</v>
      </c>
      <c r="C104" s="267"/>
      <c r="D104" s="268">
        <f t="shared" si="9"/>
        <v>0</v>
      </c>
      <c r="E104" s="267"/>
      <c r="F104" s="267"/>
      <c r="G104" s="267"/>
      <c r="H104" s="267"/>
      <c r="I104" s="287"/>
      <c r="J104" s="288">
        <f t="shared" si="12"/>
        <v>0</v>
      </c>
      <c r="K104" s="276" t="s">
        <v>1087</v>
      </c>
      <c r="L104" s="33">
        <v>1</v>
      </c>
      <c r="M104" s="157" t="s">
        <v>1287</v>
      </c>
      <c r="N104" s="157"/>
      <c r="O104" s="157" t="s">
        <v>466</v>
      </c>
      <c r="P104" s="163" t="s">
        <v>1289</v>
      </c>
    </row>
    <row r="105" s="92" customFormat="1" ht="20.1" customHeight="1" spans="1:16">
      <c r="A105" s="157" t="s">
        <v>1290</v>
      </c>
      <c r="B105" s="269" t="s">
        <v>1291</v>
      </c>
      <c r="C105" s="267"/>
      <c r="D105" s="268">
        <f t="shared" si="9"/>
        <v>0</v>
      </c>
      <c r="E105" s="267"/>
      <c r="F105" s="267"/>
      <c r="G105" s="267"/>
      <c r="H105" s="267"/>
      <c r="I105" s="287"/>
      <c r="J105" s="288">
        <f t="shared" si="12"/>
        <v>0</v>
      </c>
      <c r="K105" s="276" t="s">
        <v>1087</v>
      </c>
      <c r="L105" s="33">
        <v>1</v>
      </c>
      <c r="M105" s="157" t="s">
        <v>1290</v>
      </c>
      <c r="N105" s="157"/>
      <c r="O105" s="157" t="s">
        <v>466</v>
      </c>
      <c r="P105" s="163" t="s">
        <v>1292</v>
      </c>
    </row>
    <row r="106" s="92" customFormat="1" ht="20.1" customHeight="1" spans="1:16">
      <c r="A106" s="157" t="s">
        <v>1293</v>
      </c>
      <c r="B106" s="266" t="s">
        <v>1114</v>
      </c>
      <c r="C106" s="267"/>
      <c r="D106" s="268">
        <f t="shared" si="9"/>
        <v>0</v>
      </c>
      <c r="E106" s="267"/>
      <c r="F106" s="267"/>
      <c r="G106" s="267"/>
      <c r="H106" s="267"/>
      <c r="I106" s="287"/>
      <c r="J106" s="288">
        <f t="shared" si="12"/>
        <v>0</v>
      </c>
      <c r="K106" s="276" t="s">
        <v>1087</v>
      </c>
      <c r="L106" s="33">
        <v>1</v>
      </c>
      <c r="M106" s="157" t="s">
        <v>1293</v>
      </c>
      <c r="N106" s="157"/>
      <c r="O106" s="157" t="s">
        <v>466</v>
      </c>
      <c r="P106" s="164" t="s">
        <v>1115</v>
      </c>
    </row>
    <row r="107" s="92" customFormat="1" ht="20.1" customHeight="1" spans="1:16">
      <c r="A107" s="157" t="s">
        <v>1294</v>
      </c>
      <c r="B107" s="266" t="s">
        <v>1295</v>
      </c>
      <c r="C107" s="267">
        <v>401</v>
      </c>
      <c r="D107" s="268">
        <f t="shared" si="9"/>
        <v>337</v>
      </c>
      <c r="E107" s="267"/>
      <c r="F107" s="267"/>
      <c r="G107" s="267">
        <v>9</v>
      </c>
      <c r="H107" s="267"/>
      <c r="I107" s="287">
        <v>328</v>
      </c>
      <c r="J107" s="288">
        <f t="shared" si="12"/>
        <v>84.04</v>
      </c>
      <c r="K107" s="276" t="s">
        <v>1087</v>
      </c>
      <c r="L107" s="33">
        <v>1</v>
      </c>
      <c r="M107" s="157" t="s">
        <v>1294</v>
      </c>
      <c r="N107" s="157"/>
      <c r="O107" s="157" t="s">
        <v>466</v>
      </c>
      <c r="P107" s="163" t="s">
        <v>1296</v>
      </c>
    </row>
    <row r="108" s="93" customFormat="1" ht="20.1" customHeight="1" spans="1:16">
      <c r="A108" s="263" t="s">
        <v>467</v>
      </c>
      <c r="B108" s="264" t="s">
        <v>233</v>
      </c>
      <c r="C108" s="265">
        <f t="shared" ref="C108:I108" si="16">SUM(C109:C118)</f>
        <v>117</v>
      </c>
      <c r="D108" s="265">
        <f t="shared" si="9"/>
        <v>127</v>
      </c>
      <c r="E108" s="265">
        <f t="shared" si="16"/>
        <v>0</v>
      </c>
      <c r="F108" s="265">
        <f t="shared" si="16"/>
        <v>0</v>
      </c>
      <c r="G108" s="265">
        <f t="shared" si="16"/>
        <v>0</v>
      </c>
      <c r="H108" s="265">
        <f t="shared" si="16"/>
        <v>0</v>
      </c>
      <c r="I108" s="265">
        <f t="shared" si="16"/>
        <v>127</v>
      </c>
      <c r="J108" s="283">
        <f t="shared" si="12"/>
        <v>108.55</v>
      </c>
      <c r="K108" s="284" t="s">
        <v>1082</v>
      </c>
      <c r="L108" s="285"/>
      <c r="M108" s="263" t="s">
        <v>467</v>
      </c>
      <c r="N108" s="263" t="s">
        <v>455</v>
      </c>
      <c r="O108" s="263" t="s">
        <v>467</v>
      </c>
      <c r="P108" s="286" t="s">
        <v>1297</v>
      </c>
    </row>
    <row r="109" s="92" customFormat="1" ht="20.1" customHeight="1" spans="1:16">
      <c r="A109" s="157" t="s">
        <v>1298</v>
      </c>
      <c r="B109" s="266" t="s">
        <v>1086</v>
      </c>
      <c r="C109" s="267"/>
      <c r="D109" s="268">
        <f t="shared" si="9"/>
        <v>107</v>
      </c>
      <c r="E109" s="267"/>
      <c r="F109" s="267"/>
      <c r="G109" s="267"/>
      <c r="H109" s="267"/>
      <c r="I109" s="287">
        <v>107</v>
      </c>
      <c r="J109" s="288">
        <f t="shared" si="12"/>
        <v>100</v>
      </c>
      <c r="K109" s="276" t="s">
        <v>1087</v>
      </c>
      <c r="L109" s="33">
        <v>1</v>
      </c>
      <c r="M109" s="157" t="s">
        <v>1298</v>
      </c>
      <c r="N109" s="157"/>
      <c r="O109" s="157" t="s">
        <v>467</v>
      </c>
      <c r="P109" s="164" t="s">
        <v>1088</v>
      </c>
    </row>
    <row r="110" s="92" customFormat="1" ht="20.1" customHeight="1" spans="1:16">
      <c r="A110" s="157" t="s">
        <v>1299</v>
      </c>
      <c r="B110" s="266" t="s">
        <v>1090</v>
      </c>
      <c r="C110" s="267"/>
      <c r="D110" s="268">
        <f t="shared" si="9"/>
        <v>0</v>
      </c>
      <c r="E110" s="267"/>
      <c r="F110" s="267"/>
      <c r="G110" s="267"/>
      <c r="H110" s="267"/>
      <c r="I110" s="287"/>
      <c r="J110" s="288">
        <f t="shared" si="12"/>
        <v>0</v>
      </c>
      <c r="K110" s="276" t="s">
        <v>1087</v>
      </c>
      <c r="L110" s="33">
        <v>1</v>
      </c>
      <c r="M110" s="157" t="s">
        <v>1299</v>
      </c>
      <c r="N110" s="157"/>
      <c r="O110" s="157" t="s">
        <v>467</v>
      </c>
      <c r="P110" s="164" t="s">
        <v>1091</v>
      </c>
    </row>
    <row r="111" s="92" customFormat="1" ht="20.1" customHeight="1" spans="1:16">
      <c r="A111" s="157" t="s">
        <v>1300</v>
      </c>
      <c r="B111" s="266" t="s">
        <v>1093</v>
      </c>
      <c r="C111" s="267"/>
      <c r="D111" s="268">
        <f t="shared" si="9"/>
        <v>0</v>
      </c>
      <c r="E111" s="267"/>
      <c r="F111" s="267"/>
      <c r="G111" s="267"/>
      <c r="H111" s="267"/>
      <c r="I111" s="287"/>
      <c r="J111" s="288">
        <f t="shared" si="12"/>
        <v>0</v>
      </c>
      <c r="K111" s="276" t="s">
        <v>1087</v>
      </c>
      <c r="L111" s="33">
        <v>1</v>
      </c>
      <c r="M111" s="157" t="s">
        <v>1300</v>
      </c>
      <c r="N111" s="157"/>
      <c r="O111" s="157" t="s">
        <v>467</v>
      </c>
      <c r="P111" s="164" t="s">
        <v>1094</v>
      </c>
    </row>
    <row r="112" s="92" customFormat="1" ht="20.1" customHeight="1" spans="1:16">
      <c r="A112" s="157" t="s">
        <v>1301</v>
      </c>
      <c r="B112" s="269" t="s">
        <v>1302</v>
      </c>
      <c r="C112" s="267"/>
      <c r="D112" s="268">
        <f t="shared" si="9"/>
        <v>0</v>
      </c>
      <c r="E112" s="267"/>
      <c r="F112" s="267"/>
      <c r="G112" s="267"/>
      <c r="H112" s="267"/>
      <c r="I112" s="287"/>
      <c r="J112" s="288">
        <f t="shared" si="12"/>
        <v>0</v>
      </c>
      <c r="K112" s="276" t="s">
        <v>1087</v>
      </c>
      <c r="L112" s="33">
        <v>1</v>
      </c>
      <c r="M112" s="157" t="s">
        <v>1301</v>
      </c>
      <c r="N112" s="157"/>
      <c r="O112" s="157" t="s">
        <v>467</v>
      </c>
      <c r="P112" s="163" t="s">
        <v>1303</v>
      </c>
    </row>
    <row r="113" s="92" customFormat="1" ht="20.1" customHeight="1" spans="1:16">
      <c r="A113" s="157" t="s">
        <v>1304</v>
      </c>
      <c r="B113" s="269" t="s">
        <v>1305</v>
      </c>
      <c r="C113" s="267"/>
      <c r="D113" s="268">
        <f t="shared" si="9"/>
        <v>0</v>
      </c>
      <c r="E113" s="267"/>
      <c r="F113" s="267"/>
      <c r="G113" s="267"/>
      <c r="H113" s="267"/>
      <c r="I113" s="287"/>
      <c r="J113" s="288">
        <f t="shared" si="12"/>
        <v>0</v>
      </c>
      <c r="K113" s="276" t="s">
        <v>1087</v>
      </c>
      <c r="L113" s="33">
        <v>1</v>
      </c>
      <c r="M113" s="157" t="s">
        <v>1304</v>
      </c>
      <c r="N113" s="157"/>
      <c r="O113" s="157" t="s">
        <v>467</v>
      </c>
      <c r="P113" s="163" t="s">
        <v>1306</v>
      </c>
    </row>
    <row r="114" s="92" customFormat="1" ht="20.1" customHeight="1" spans="1:16">
      <c r="A114" s="157" t="s">
        <v>1307</v>
      </c>
      <c r="B114" s="269" t="s">
        <v>1308</v>
      </c>
      <c r="C114" s="267"/>
      <c r="D114" s="268">
        <f t="shared" si="9"/>
        <v>0</v>
      </c>
      <c r="E114" s="267"/>
      <c r="F114" s="267"/>
      <c r="G114" s="267"/>
      <c r="H114" s="267"/>
      <c r="I114" s="287"/>
      <c r="J114" s="288">
        <f t="shared" si="12"/>
        <v>0</v>
      </c>
      <c r="K114" s="276" t="s">
        <v>1087</v>
      </c>
      <c r="L114" s="33">
        <v>1</v>
      </c>
      <c r="M114" s="157" t="s">
        <v>1307</v>
      </c>
      <c r="N114" s="157"/>
      <c r="O114" s="157" t="s">
        <v>467</v>
      </c>
      <c r="P114" s="163" t="s">
        <v>1309</v>
      </c>
    </row>
    <row r="115" s="92" customFormat="1" ht="20.1" customHeight="1" spans="1:16">
      <c r="A115" s="157" t="s">
        <v>1310</v>
      </c>
      <c r="B115" s="266" t="s">
        <v>1311</v>
      </c>
      <c r="C115" s="267"/>
      <c r="D115" s="268">
        <f t="shared" si="9"/>
        <v>0</v>
      </c>
      <c r="E115" s="267"/>
      <c r="F115" s="267"/>
      <c r="G115" s="267"/>
      <c r="H115" s="267"/>
      <c r="I115" s="287"/>
      <c r="J115" s="288">
        <f t="shared" si="12"/>
        <v>0</v>
      </c>
      <c r="K115" s="276" t="s">
        <v>1087</v>
      </c>
      <c r="L115" s="33">
        <v>1</v>
      </c>
      <c r="M115" s="157" t="s">
        <v>1310</v>
      </c>
      <c r="N115" s="157"/>
      <c r="O115" s="157" t="s">
        <v>467</v>
      </c>
      <c r="P115" s="163" t="s">
        <v>1312</v>
      </c>
    </row>
    <row r="116" s="92" customFormat="1" ht="20.1" customHeight="1" spans="1:16">
      <c r="A116" s="157" t="s">
        <v>1313</v>
      </c>
      <c r="B116" s="266" t="s">
        <v>1314</v>
      </c>
      <c r="C116" s="267">
        <v>117</v>
      </c>
      <c r="D116" s="268">
        <f t="shared" si="9"/>
        <v>20</v>
      </c>
      <c r="E116" s="267"/>
      <c r="F116" s="267"/>
      <c r="G116" s="267"/>
      <c r="H116" s="267"/>
      <c r="I116" s="287">
        <v>20</v>
      </c>
      <c r="J116" s="288">
        <f t="shared" si="12"/>
        <v>17.09</v>
      </c>
      <c r="K116" s="276" t="s">
        <v>1087</v>
      </c>
      <c r="L116" s="33">
        <v>1</v>
      </c>
      <c r="M116" s="157" t="s">
        <v>1313</v>
      </c>
      <c r="N116" s="157"/>
      <c r="O116" s="157" t="s">
        <v>467</v>
      </c>
      <c r="P116" s="163" t="s">
        <v>1315</v>
      </c>
    </row>
    <row r="117" s="92" customFormat="1" ht="20.1" customHeight="1" spans="1:16">
      <c r="A117" s="157" t="s">
        <v>1316</v>
      </c>
      <c r="B117" s="266" t="s">
        <v>1114</v>
      </c>
      <c r="C117" s="267"/>
      <c r="D117" s="268">
        <f t="shared" si="9"/>
        <v>0</v>
      </c>
      <c r="E117" s="267"/>
      <c r="F117" s="267"/>
      <c r="G117" s="267"/>
      <c r="H117" s="267"/>
      <c r="I117" s="287"/>
      <c r="J117" s="288">
        <f t="shared" si="12"/>
        <v>0</v>
      </c>
      <c r="K117" s="276" t="s">
        <v>1087</v>
      </c>
      <c r="L117" s="33">
        <v>1</v>
      </c>
      <c r="M117" s="157" t="s">
        <v>1316</v>
      </c>
      <c r="N117" s="157"/>
      <c r="O117" s="157" t="s">
        <v>467</v>
      </c>
      <c r="P117" s="164" t="s">
        <v>1115</v>
      </c>
    </row>
    <row r="118" s="92" customFormat="1" ht="20.1" customHeight="1" spans="1:16">
      <c r="A118" s="157" t="s">
        <v>1317</v>
      </c>
      <c r="B118" s="269" t="s">
        <v>1318</v>
      </c>
      <c r="C118" s="267"/>
      <c r="D118" s="268">
        <f t="shared" si="9"/>
        <v>0</v>
      </c>
      <c r="E118" s="267"/>
      <c r="F118" s="267"/>
      <c r="G118" s="267"/>
      <c r="H118" s="267"/>
      <c r="I118" s="287"/>
      <c r="J118" s="288">
        <f t="shared" si="12"/>
        <v>0</v>
      </c>
      <c r="K118" s="276" t="s">
        <v>1087</v>
      </c>
      <c r="L118" s="33">
        <v>1</v>
      </c>
      <c r="M118" s="157" t="s">
        <v>1317</v>
      </c>
      <c r="N118" s="157"/>
      <c r="O118" s="157" t="s">
        <v>467</v>
      </c>
      <c r="P118" s="163" t="s">
        <v>1319</v>
      </c>
    </row>
    <row r="119" s="93" customFormat="1" ht="20.1" customHeight="1" spans="1:16">
      <c r="A119" s="263" t="s">
        <v>468</v>
      </c>
      <c r="B119" s="264" t="s">
        <v>234</v>
      </c>
      <c r="C119" s="265">
        <f t="shared" ref="C119:F119" si="17">SUM(C120:C130)</f>
        <v>0</v>
      </c>
      <c r="D119" s="265">
        <f t="shared" si="9"/>
        <v>0</v>
      </c>
      <c r="E119" s="265">
        <f t="shared" si="17"/>
        <v>0</v>
      </c>
      <c r="F119" s="265">
        <f t="shared" si="17"/>
        <v>0</v>
      </c>
      <c r="G119" s="265">
        <f>VLOOKUP(A119,[1]√表四、2024年公共财政支出变动表!$A$7:$R$214,18,FALSE)</f>
        <v>0</v>
      </c>
      <c r="H119" s="265">
        <f>SUM(H120:H130)</f>
        <v>0</v>
      </c>
      <c r="I119" s="265"/>
      <c r="J119" s="283">
        <f t="shared" si="12"/>
        <v>0</v>
      </c>
      <c r="K119" s="284" t="s">
        <v>1082</v>
      </c>
      <c r="L119" s="285"/>
      <c r="M119" s="263" t="s">
        <v>468</v>
      </c>
      <c r="N119" s="263" t="s">
        <v>455</v>
      </c>
      <c r="O119" s="263" t="s">
        <v>468</v>
      </c>
      <c r="P119" s="286" t="s">
        <v>1320</v>
      </c>
    </row>
    <row r="120" s="92" customFormat="1" ht="20.1" customHeight="1" spans="1:16">
      <c r="A120" s="157" t="s">
        <v>1321</v>
      </c>
      <c r="B120" s="269" t="s">
        <v>1086</v>
      </c>
      <c r="C120" s="267">
        <v>0</v>
      </c>
      <c r="D120" s="268">
        <f t="shared" si="9"/>
        <v>0</v>
      </c>
      <c r="E120" s="267"/>
      <c r="F120" s="267"/>
      <c r="G120" s="267"/>
      <c r="H120" s="267"/>
      <c r="I120" s="287"/>
      <c r="J120" s="288">
        <f t="shared" si="12"/>
        <v>0</v>
      </c>
      <c r="K120" s="276" t="s">
        <v>1087</v>
      </c>
      <c r="L120" s="33">
        <v>1</v>
      </c>
      <c r="M120" s="157" t="s">
        <v>1321</v>
      </c>
      <c r="N120" s="157"/>
      <c r="O120" s="157" t="s">
        <v>468</v>
      </c>
      <c r="P120" s="164" t="s">
        <v>1088</v>
      </c>
    </row>
    <row r="121" s="92" customFormat="1" ht="20.1" customHeight="1" spans="1:16">
      <c r="A121" s="157" t="s">
        <v>1322</v>
      </c>
      <c r="B121" s="36" t="s">
        <v>1090</v>
      </c>
      <c r="C121" s="267">
        <v>0</v>
      </c>
      <c r="D121" s="268">
        <f t="shared" si="9"/>
        <v>0</v>
      </c>
      <c r="E121" s="267"/>
      <c r="F121" s="267"/>
      <c r="G121" s="267"/>
      <c r="H121" s="267"/>
      <c r="I121" s="287"/>
      <c r="J121" s="288">
        <f t="shared" si="12"/>
        <v>0</v>
      </c>
      <c r="K121" s="276" t="s">
        <v>1087</v>
      </c>
      <c r="L121" s="33">
        <v>1</v>
      </c>
      <c r="M121" s="157" t="s">
        <v>1322</v>
      </c>
      <c r="N121" s="157"/>
      <c r="O121" s="157" t="s">
        <v>468</v>
      </c>
      <c r="P121" s="164" t="s">
        <v>1091</v>
      </c>
    </row>
    <row r="122" s="92" customFormat="1" ht="20.1" customHeight="1" spans="1:16">
      <c r="A122" s="157" t="s">
        <v>1323</v>
      </c>
      <c r="B122" s="266" t="s">
        <v>1093</v>
      </c>
      <c r="C122" s="267">
        <v>0</v>
      </c>
      <c r="D122" s="268">
        <f t="shared" si="9"/>
        <v>0</v>
      </c>
      <c r="E122" s="267"/>
      <c r="F122" s="267"/>
      <c r="G122" s="267"/>
      <c r="H122" s="267"/>
      <c r="I122" s="287"/>
      <c r="J122" s="288">
        <f t="shared" si="12"/>
        <v>0</v>
      </c>
      <c r="K122" s="276" t="s">
        <v>1087</v>
      </c>
      <c r="L122" s="33">
        <v>1</v>
      </c>
      <c r="M122" s="157" t="s">
        <v>1323</v>
      </c>
      <c r="N122" s="157"/>
      <c r="O122" s="157" t="s">
        <v>468</v>
      </c>
      <c r="P122" s="164" t="s">
        <v>1094</v>
      </c>
    </row>
    <row r="123" s="92" customFormat="1" ht="20.1" customHeight="1" spans="1:16">
      <c r="A123" s="157" t="s">
        <v>1324</v>
      </c>
      <c r="B123" s="266" t="s">
        <v>1325</v>
      </c>
      <c r="C123" s="267">
        <v>0</v>
      </c>
      <c r="D123" s="268">
        <f t="shared" si="9"/>
        <v>0</v>
      </c>
      <c r="E123" s="267"/>
      <c r="F123" s="267"/>
      <c r="G123" s="267"/>
      <c r="H123" s="267"/>
      <c r="I123" s="287"/>
      <c r="J123" s="288">
        <f t="shared" si="12"/>
        <v>0</v>
      </c>
      <c r="K123" s="276" t="s">
        <v>1087</v>
      </c>
      <c r="L123" s="33">
        <v>1</v>
      </c>
      <c r="M123" s="157" t="s">
        <v>1324</v>
      </c>
      <c r="N123" s="157"/>
      <c r="O123" s="157" t="s">
        <v>468</v>
      </c>
      <c r="P123" s="163" t="s">
        <v>1326</v>
      </c>
    </row>
    <row r="124" s="92" customFormat="1" ht="20.1" customHeight="1" spans="1:16">
      <c r="A124" s="157" t="s">
        <v>1327</v>
      </c>
      <c r="B124" s="266" t="s">
        <v>1328</v>
      </c>
      <c r="C124" s="267">
        <v>0</v>
      </c>
      <c r="D124" s="268">
        <f t="shared" si="9"/>
        <v>0</v>
      </c>
      <c r="E124" s="267"/>
      <c r="F124" s="267"/>
      <c r="G124" s="267"/>
      <c r="H124" s="267"/>
      <c r="I124" s="287"/>
      <c r="J124" s="288">
        <f t="shared" si="12"/>
        <v>0</v>
      </c>
      <c r="K124" s="276" t="s">
        <v>1087</v>
      </c>
      <c r="L124" s="33">
        <v>1</v>
      </c>
      <c r="M124" s="157" t="s">
        <v>1327</v>
      </c>
      <c r="N124" s="157"/>
      <c r="O124" s="157" t="s">
        <v>468</v>
      </c>
      <c r="P124" s="289" t="s">
        <v>1329</v>
      </c>
    </row>
    <row r="125" s="92" customFormat="1" ht="20.1" customHeight="1" spans="1:16">
      <c r="A125" s="157" t="s">
        <v>1330</v>
      </c>
      <c r="B125" s="269" t="s">
        <v>1331</v>
      </c>
      <c r="C125" s="267">
        <v>0</v>
      </c>
      <c r="D125" s="268">
        <f t="shared" si="9"/>
        <v>0</v>
      </c>
      <c r="E125" s="267"/>
      <c r="F125" s="267"/>
      <c r="G125" s="267"/>
      <c r="H125" s="267"/>
      <c r="I125" s="287"/>
      <c r="J125" s="288">
        <f t="shared" si="12"/>
        <v>0</v>
      </c>
      <c r="K125" s="276" t="s">
        <v>1087</v>
      </c>
      <c r="L125" s="33">
        <v>1</v>
      </c>
      <c r="M125" s="157" t="s">
        <v>1330</v>
      </c>
      <c r="N125" s="157"/>
      <c r="O125" s="157" t="s">
        <v>468</v>
      </c>
      <c r="P125" s="290" t="s">
        <v>1332</v>
      </c>
    </row>
    <row r="126" s="92" customFormat="1" ht="20.1" customHeight="1" spans="1:16">
      <c r="A126" s="157" t="s">
        <v>1333</v>
      </c>
      <c r="B126" s="266" t="s">
        <v>1334</v>
      </c>
      <c r="C126" s="267">
        <v>0</v>
      </c>
      <c r="D126" s="268">
        <f t="shared" si="9"/>
        <v>0</v>
      </c>
      <c r="E126" s="267"/>
      <c r="F126" s="267"/>
      <c r="G126" s="267"/>
      <c r="H126" s="267"/>
      <c r="I126" s="287"/>
      <c r="J126" s="288">
        <f t="shared" si="12"/>
        <v>0</v>
      </c>
      <c r="K126" s="276" t="s">
        <v>1087</v>
      </c>
      <c r="L126" s="33">
        <v>1</v>
      </c>
      <c r="M126" s="157" t="s">
        <v>1333</v>
      </c>
      <c r="N126" s="157"/>
      <c r="O126" s="157" t="s">
        <v>468</v>
      </c>
      <c r="P126" s="163" t="s">
        <v>1335</v>
      </c>
    </row>
    <row r="127" s="92" customFormat="1" ht="20.1" customHeight="1" spans="1:16">
      <c r="A127" s="157" t="s">
        <v>1336</v>
      </c>
      <c r="B127" s="266" t="s">
        <v>1337</v>
      </c>
      <c r="C127" s="267">
        <v>0</v>
      </c>
      <c r="D127" s="268">
        <f t="shared" si="9"/>
        <v>0</v>
      </c>
      <c r="E127" s="267"/>
      <c r="F127" s="267"/>
      <c r="G127" s="267"/>
      <c r="H127" s="267"/>
      <c r="I127" s="287"/>
      <c r="J127" s="288">
        <f t="shared" si="12"/>
        <v>0</v>
      </c>
      <c r="K127" s="276" t="s">
        <v>1087</v>
      </c>
      <c r="L127" s="33">
        <v>1</v>
      </c>
      <c r="M127" s="157" t="s">
        <v>1336</v>
      </c>
      <c r="N127" s="157"/>
      <c r="O127" s="157" t="s">
        <v>468</v>
      </c>
      <c r="P127" s="164" t="s">
        <v>1338</v>
      </c>
    </row>
    <row r="128" s="92" customFormat="1" ht="20.1" customHeight="1" spans="1:16">
      <c r="A128" s="157" t="s">
        <v>1339</v>
      </c>
      <c r="B128" s="266" t="s">
        <v>1340</v>
      </c>
      <c r="C128" s="267">
        <v>0</v>
      </c>
      <c r="D128" s="268">
        <f t="shared" si="9"/>
        <v>0</v>
      </c>
      <c r="E128" s="267"/>
      <c r="F128" s="267"/>
      <c r="G128" s="267"/>
      <c r="H128" s="267"/>
      <c r="I128" s="287"/>
      <c r="J128" s="288">
        <f t="shared" si="12"/>
        <v>0</v>
      </c>
      <c r="K128" s="276" t="s">
        <v>1087</v>
      </c>
      <c r="L128" s="33">
        <v>1</v>
      </c>
      <c r="M128" s="157" t="s">
        <v>1339</v>
      </c>
      <c r="N128" s="157"/>
      <c r="O128" s="157" t="s">
        <v>468</v>
      </c>
      <c r="P128" s="164" t="s">
        <v>1341</v>
      </c>
    </row>
    <row r="129" s="92" customFormat="1" ht="20.1" customHeight="1" spans="1:16">
      <c r="A129" s="157" t="s">
        <v>1342</v>
      </c>
      <c r="B129" s="266" t="s">
        <v>1114</v>
      </c>
      <c r="C129" s="267">
        <v>0</v>
      </c>
      <c r="D129" s="268">
        <f t="shared" si="9"/>
        <v>0</v>
      </c>
      <c r="E129" s="267"/>
      <c r="F129" s="267"/>
      <c r="G129" s="267"/>
      <c r="H129" s="267"/>
      <c r="I129" s="287"/>
      <c r="J129" s="288">
        <f t="shared" si="12"/>
        <v>0</v>
      </c>
      <c r="K129" s="276" t="s">
        <v>1087</v>
      </c>
      <c r="L129" s="33">
        <v>1</v>
      </c>
      <c r="M129" s="157" t="s">
        <v>1342</v>
      </c>
      <c r="N129" s="157"/>
      <c r="O129" s="157" t="s">
        <v>468</v>
      </c>
      <c r="P129" s="164" t="s">
        <v>1115</v>
      </c>
    </row>
    <row r="130" s="92" customFormat="1" ht="20.1" customHeight="1" spans="1:16">
      <c r="A130" s="157" t="s">
        <v>1343</v>
      </c>
      <c r="B130" s="266" t="s">
        <v>1344</v>
      </c>
      <c r="C130" s="267">
        <v>0</v>
      </c>
      <c r="D130" s="268">
        <f t="shared" si="9"/>
        <v>0</v>
      </c>
      <c r="E130" s="267"/>
      <c r="F130" s="267"/>
      <c r="G130" s="267"/>
      <c r="H130" s="267"/>
      <c r="I130" s="287"/>
      <c r="J130" s="288">
        <f t="shared" si="12"/>
        <v>0</v>
      </c>
      <c r="K130" s="276" t="s">
        <v>1087</v>
      </c>
      <c r="L130" s="33">
        <v>1</v>
      </c>
      <c r="M130" s="157" t="s">
        <v>1343</v>
      </c>
      <c r="N130" s="157"/>
      <c r="O130" s="157" t="s">
        <v>468</v>
      </c>
      <c r="P130" s="163" t="s">
        <v>1345</v>
      </c>
    </row>
    <row r="131" s="93" customFormat="1" ht="20.1" customHeight="1" spans="1:16">
      <c r="A131" s="263" t="s">
        <v>469</v>
      </c>
      <c r="B131" s="264" t="s">
        <v>235</v>
      </c>
      <c r="C131" s="265">
        <f t="shared" ref="C131:I131" si="18">SUM(C132:C137)</f>
        <v>127</v>
      </c>
      <c r="D131" s="265">
        <f t="shared" si="9"/>
        <v>101</v>
      </c>
      <c r="E131" s="265">
        <f t="shared" si="18"/>
        <v>30</v>
      </c>
      <c r="F131" s="265">
        <f t="shared" si="18"/>
        <v>0</v>
      </c>
      <c r="G131" s="265">
        <f t="shared" si="18"/>
        <v>40</v>
      </c>
      <c r="H131" s="265">
        <f t="shared" si="18"/>
        <v>0</v>
      </c>
      <c r="I131" s="265">
        <f t="shared" si="18"/>
        <v>31</v>
      </c>
      <c r="J131" s="283">
        <f t="shared" si="12"/>
        <v>79.53</v>
      </c>
      <c r="K131" s="284" t="s">
        <v>1082</v>
      </c>
      <c r="L131" s="285"/>
      <c r="M131" s="263" t="s">
        <v>469</v>
      </c>
      <c r="N131" s="263" t="s">
        <v>455</v>
      </c>
      <c r="O131" s="263" t="s">
        <v>469</v>
      </c>
      <c r="P131" s="286" t="s">
        <v>1346</v>
      </c>
    </row>
    <row r="132" s="92" customFormat="1" ht="20.1" customHeight="1" spans="1:16">
      <c r="A132" s="157" t="s">
        <v>1347</v>
      </c>
      <c r="B132" s="266" t="s">
        <v>1086</v>
      </c>
      <c r="C132" s="267"/>
      <c r="D132" s="268">
        <f t="shared" ref="D132:D195" si="19">SUM(E132:I132)</f>
        <v>0</v>
      </c>
      <c r="E132" s="267"/>
      <c r="F132" s="267"/>
      <c r="G132" s="267"/>
      <c r="H132" s="267"/>
      <c r="I132" s="287"/>
      <c r="J132" s="288">
        <f t="shared" si="12"/>
        <v>0</v>
      </c>
      <c r="K132" s="276" t="s">
        <v>1087</v>
      </c>
      <c r="L132" s="33">
        <v>1</v>
      </c>
      <c r="M132" s="157" t="s">
        <v>1347</v>
      </c>
      <c r="N132" s="157"/>
      <c r="O132" s="157" t="s">
        <v>469</v>
      </c>
      <c r="P132" s="164" t="s">
        <v>1088</v>
      </c>
    </row>
    <row r="133" s="92" customFormat="1" ht="20.1" customHeight="1" spans="1:16">
      <c r="A133" s="157" t="s">
        <v>1348</v>
      </c>
      <c r="B133" s="266" t="s">
        <v>1090</v>
      </c>
      <c r="C133" s="267">
        <v>25</v>
      </c>
      <c r="D133" s="268">
        <f t="shared" si="19"/>
        <v>0</v>
      </c>
      <c r="E133" s="267"/>
      <c r="F133" s="267"/>
      <c r="G133" s="267"/>
      <c r="H133" s="267"/>
      <c r="I133" s="287"/>
      <c r="J133" s="288">
        <f t="shared" si="12"/>
        <v>-100</v>
      </c>
      <c r="K133" s="276" t="s">
        <v>1087</v>
      </c>
      <c r="L133" s="33">
        <v>1</v>
      </c>
      <c r="M133" s="157" t="s">
        <v>1348</v>
      </c>
      <c r="N133" s="157"/>
      <c r="O133" s="157" t="s">
        <v>469</v>
      </c>
      <c r="P133" s="164" t="s">
        <v>1091</v>
      </c>
    </row>
    <row r="134" s="92" customFormat="1" ht="20.1" customHeight="1" spans="1:16">
      <c r="A134" s="157" t="s">
        <v>1349</v>
      </c>
      <c r="B134" s="269" t="s">
        <v>1093</v>
      </c>
      <c r="C134" s="267"/>
      <c r="D134" s="268">
        <f t="shared" si="19"/>
        <v>0</v>
      </c>
      <c r="E134" s="267"/>
      <c r="F134" s="267"/>
      <c r="G134" s="267"/>
      <c r="H134" s="267"/>
      <c r="I134" s="287"/>
      <c r="J134" s="288">
        <f t="shared" si="12"/>
        <v>0</v>
      </c>
      <c r="K134" s="276" t="s">
        <v>1087</v>
      </c>
      <c r="L134" s="33">
        <v>1</v>
      </c>
      <c r="M134" s="157" t="s">
        <v>1349</v>
      </c>
      <c r="N134" s="157"/>
      <c r="O134" s="157" t="s">
        <v>469</v>
      </c>
      <c r="P134" s="164" t="s">
        <v>1094</v>
      </c>
    </row>
    <row r="135" s="92" customFormat="1" ht="20.1" customHeight="1" spans="1:16">
      <c r="A135" s="157" t="s">
        <v>1350</v>
      </c>
      <c r="B135" s="269" t="s">
        <v>1351</v>
      </c>
      <c r="C135" s="267">
        <v>3</v>
      </c>
      <c r="D135" s="268">
        <f t="shared" si="19"/>
        <v>20</v>
      </c>
      <c r="E135" s="267"/>
      <c r="F135" s="267"/>
      <c r="G135" s="267"/>
      <c r="H135" s="267"/>
      <c r="I135" s="287">
        <v>20</v>
      </c>
      <c r="J135" s="288">
        <f t="shared" si="12"/>
        <v>666.67</v>
      </c>
      <c r="K135" s="276" t="s">
        <v>1087</v>
      </c>
      <c r="L135" s="33">
        <v>1</v>
      </c>
      <c r="M135" s="157" t="s">
        <v>1350</v>
      </c>
      <c r="N135" s="157"/>
      <c r="O135" s="157" t="s">
        <v>469</v>
      </c>
      <c r="P135" s="163" t="s">
        <v>1352</v>
      </c>
    </row>
    <row r="136" s="92" customFormat="1" ht="20.1" customHeight="1" spans="1:16">
      <c r="A136" s="157" t="s">
        <v>1353</v>
      </c>
      <c r="B136" s="269" t="s">
        <v>1114</v>
      </c>
      <c r="C136" s="267"/>
      <c r="D136" s="268">
        <f t="shared" si="19"/>
        <v>0</v>
      </c>
      <c r="E136" s="267"/>
      <c r="F136" s="267"/>
      <c r="G136" s="267"/>
      <c r="H136" s="267"/>
      <c r="I136" s="287"/>
      <c r="J136" s="288">
        <f t="shared" si="12"/>
        <v>0</v>
      </c>
      <c r="K136" s="276" t="s">
        <v>1087</v>
      </c>
      <c r="L136" s="33">
        <v>1</v>
      </c>
      <c r="M136" s="157" t="s">
        <v>1353</v>
      </c>
      <c r="N136" s="157"/>
      <c r="O136" s="157" t="s">
        <v>469</v>
      </c>
      <c r="P136" s="164" t="s">
        <v>1115</v>
      </c>
    </row>
    <row r="137" s="92" customFormat="1" ht="20.1" customHeight="1" spans="1:16">
      <c r="A137" s="157" t="s">
        <v>1354</v>
      </c>
      <c r="B137" s="36" t="s">
        <v>1355</v>
      </c>
      <c r="C137" s="267">
        <v>99</v>
      </c>
      <c r="D137" s="268">
        <f t="shared" si="19"/>
        <v>81</v>
      </c>
      <c r="E137" s="267">
        <v>30</v>
      </c>
      <c r="F137" s="267"/>
      <c r="G137" s="267">
        <v>40</v>
      </c>
      <c r="H137" s="267"/>
      <c r="I137" s="287">
        <v>11</v>
      </c>
      <c r="J137" s="288">
        <f t="shared" si="12"/>
        <v>81.82</v>
      </c>
      <c r="K137" s="276" t="s">
        <v>1087</v>
      </c>
      <c r="L137" s="33">
        <v>1</v>
      </c>
      <c r="M137" s="157" t="s">
        <v>1354</v>
      </c>
      <c r="N137" s="157"/>
      <c r="O137" s="157" t="s">
        <v>469</v>
      </c>
      <c r="P137" s="163" t="s">
        <v>1356</v>
      </c>
    </row>
    <row r="138" s="93" customFormat="1" ht="20.1" customHeight="1" spans="1:16">
      <c r="A138" s="263" t="s">
        <v>470</v>
      </c>
      <c r="B138" s="264" t="s">
        <v>236</v>
      </c>
      <c r="C138" s="265">
        <v>0</v>
      </c>
      <c r="D138" s="265">
        <f t="shared" si="19"/>
        <v>0</v>
      </c>
      <c r="E138" s="265">
        <f t="shared" ref="E138:H138" si="20">SUM(E139:E145)</f>
        <v>0</v>
      </c>
      <c r="F138" s="265">
        <f t="shared" si="20"/>
        <v>0</v>
      </c>
      <c r="G138" s="265">
        <f>VLOOKUP(A138,[1]√表四、2024年公共财政支出变动表!$A$7:$R$214,18,FALSE)</f>
        <v>0</v>
      </c>
      <c r="H138" s="265">
        <f t="shared" si="20"/>
        <v>0</v>
      </c>
      <c r="I138" s="265"/>
      <c r="J138" s="283">
        <f t="shared" si="12"/>
        <v>0</v>
      </c>
      <c r="K138" s="284" t="s">
        <v>1082</v>
      </c>
      <c r="L138" s="285"/>
      <c r="M138" s="263" t="s">
        <v>470</v>
      </c>
      <c r="N138" s="263" t="s">
        <v>455</v>
      </c>
      <c r="O138" s="263" t="s">
        <v>470</v>
      </c>
      <c r="P138" s="286" t="s">
        <v>1357</v>
      </c>
    </row>
    <row r="139" s="92" customFormat="1" ht="20.1" customHeight="1" spans="1:16">
      <c r="A139" s="157" t="s">
        <v>1358</v>
      </c>
      <c r="B139" s="266" t="s">
        <v>1086</v>
      </c>
      <c r="C139" s="267">
        <v>0</v>
      </c>
      <c r="D139" s="268">
        <f t="shared" si="19"/>
        <v>0</v>
      </c>
      <c r="E139" s="267"/>
      <c r="F139" s="267"/>
      <c r="G139" s="267"/>
      <c r="H139" s="267"/>
      <c r="I139" s="287"/>
      <c r="J139" s="288">
        <f t="shared" ref="J139:J183" si="21">ROUND(IF(C139=0,IF(D139=0,0,1),IF(D139=0,-1,D139/C139)),4)*100</f>
        <v>0</v>
      </c>
      <c r="K139" s="276" t="s">
        <v>1087</v>
      </c>
      <c r="L139" s="33">
        <v>1</v>
      </c>
      <c r="M139" s="157" t="s">
        <v>1358</v>
      </c>
      <c r="N139" s="157"/>
      <c r="O139" s="157" t="s">
        <v>470</v>
      </c>
      <c r="P139" s="164" t="s">
        <v>1088</v>
      </c>
    </row>
    <row r="140" s="92" customFormat="1" ht="20.1" customHeight="1" spans="1:16">
      <c r="A140" s="157" t="s">
        <v>1359</v>
      </c>
      <c r="B140" s="269" t="s">
        <v>1090</v>
      </c>
      <c r="C140" s="267">
        <v>0</v>
      </c>
      <c r="D140" s="268">
        <f t="shared" si="19"/>
        <v>0</v>
      </c>
      <c r="E140" s="267"/>
      <c r="F140" s="267"/>
      <c r="G140" s="267"/>
      <c r="H140" s="267"/>
      <c r="I140" s="287"/>
      <c r="J140" s="288">
        <f t="shared" si="21"/>
        <v>0</v>
      </c>
      <c r="K140" s="276" t="s">
        <v>1087</v>
      </c>
      <c r="L140" s="33">
        <v>1</v>
      </c>
      <c r="M140" s="157" t="s">
        <v>1359</v>
      </c>
      <c r="N140" s="157"/>
      <c r="O140" s="157" t="s">
        <v>470</v>
      </c>
      <c r="P140" s="164" t="s">
        <v>1091</v>
      </c>
    </row>
    <row r="141" s="92" customFormat="1" ht="20.1" customHeight="1" spans="1:16">
      <c r="A141" s="157" t="s">
        <v>1360</v>
      </c>
      <c r="B141" s="269" t="s">
        <v>1093</v>
      </c>
      <c r="C141" s="267">
        <v>0</v>
      </c>
      <c r="D141" s="268">
        <f t="shared" si="19"/>
        <v>0</v>
      </c>
      <c r="E141" s="267"/>
      <c r="F141" s="267"/>
      <c r="G141" s="267"/>
      <c r="H141" s="267"/>
      <c r="I141" s="287"/>
      <c r="J141" s="288">
        <f t="shared" si="21"/>
        <v>0</v>
      </c>
      <c r="K141" s="276" t="s">
        <v>1087</v>
      </c>
      <c r="L141" s="33">
        <v>1</v>
      </c>
      <c r="M141" s="157" t="s">
        <v>1360</v>
      </c>
      <c r="N141" s="157"/>
      <c r="O141" s="157" t="s">
        <v>470</v>
      </c>
      <c r="P141" s="164" t="s">
        <v>1094</v>
      </c>
    </row>
    <row r="142" s="92" customFormat="1" ht="20.1" customHeight="1" spans="1:16">
      <c r="A142" s="157" t="s">
        <v>1361</v>
      </c>
      <c r="B142" s="269" t="s">
        <v>1362</v>
      </c>
      <c r="C142" s="267">
        <v>0</v>
      </c>
      <c r="D142" s="268">
        <f t="shared" si="19"/>
        <v>0</v>
      </c>
      <c r="E142" s="267"/>
      <c r="F142" s="267"/>
      <c r="G142" s="267"/>
      <c r="H142" s="267"/>
      <c r="I142" s="287"/>
      <c r="J142" s="288">
        <f t="shared" si="21"/>
        <v>0</v>
      </c>
      <c r="K142" s="276" t="s">
        <v>1087</v>
      </c>
      <c r="L142" s="33">
        <v>1</v>
      </c>
      <c r="M142" s="157" t="s">
        <v>1361</v>
      </c>
      <c r="N142" s="157"/>
      <c r="O142" s="157" t="s">
        <v>470</v>
      </c>
      <c r="P142" s="163" t="s">
        <v>1363</v>
      </c>
    </row>
    <row r="143" s="92" customFormat="1" ht="20.1" customHeight="1" spans="1:16">
      <c r="A143" s="157" t="s">
        <v>1364</v>
      </c>
      <c r="B143" s="36" t="s">
        <v>1365</v>
      </c>
      <c r="C143" s="267">
        <v>0</v>
      </c>
      <c r="D143" s="268">
        <f t="shared" si="19"/>
        <v>0</v>
      </c>
      <c r="E143" s="267"/>
      <c r="F143" s="267"/>
      <c r="G143" s="267"/>
      <c r="H143" s="267"/>
      <c r="I143" s="287"/>
      <c r="J143" s="288">
        <f t="shared" si="21"/>
        <v>0</v>
      </c>
      <c r="K143" s="276" t="s">
        <v>1087</v>
      </c>
      <c r="L143" s="33">
        <v>1</v>
      </c>
      <c r="M143" s="157" t="s">
        <v>1364</v>
      </c>
      <c r="N143" s="157"/>
      <c r="O143" s="157" t="s">
        <v>470</v>
      </c>
      <c r="P143" s="163" t="s">
        <v>1366</v>
      </c>
    </row>
    <row r="144" s="92" customFormat="1" ht="20.1" customHeight="1" spans="1:16">
      <c r="A144" s="157" t="s">
        <v>1367</v>
      </c>
      <c r="B144" s="266" t="s">
        <v>1114</v>
      </c>
      <c r="C144" s="267">
        <v>0</v>
      </c>
      <c r="D144" s="268">
        <f t="shared" si="19"/>
        <v>0</v>
      </c>
      <c r="E144" s="267"/>
      <c r="F144" s="267"/>
      <c r="G144" s="267"/>
      <c r="H144" s="267"/>
      <c r="I144" s="287"/>
      <c r="J144" s="288">
        <f t="shared" si="21"/>
        <v>0</v>
      </c>
      <c r="K144" s="276" t="s">
        <v>1087</v>
      </c>
      <c r="L144" s="33">
        <v>1</v>
      </c>
      <c r="M144" s="157" t="s">
        <v>1367</v>
      </c>
      <c r="N144" s="157"/>
      <c r="O144" s="157" t="s">
        <v>470</v>
      </c>
      <c r="P144" s="164" t="s">
        <v>1115</v>
      </c>
    </row>
    <row r="145" s="92" customFormat="1" ht="20.1" customHeight="1" spans="1:16">
      <c r="A145" s="157" t="s">
        <v>1368</v>
      </c>
      <c r="B145" s="266" t="s">
        <v>1369</v>
      </c>
      <c r="C145" s="267">
        <v>0</v>
      </c>
      <c r="D145" s="268">
        <f t="shared" si="19"/>
        <v>0</v>
      </c>
      <c r="E145" s="267"/>
      <c r="F145" s="267"/>
      <c r="G145" s="267"/>
      <c r="H145" s="267"/>
      <c r="I145" s="287"/>
      <c r="J145" s="288">
        <f t="shared" si="21"/>
        <v>0</v>
      </c>
      <c r="K145" s="276" t="s">
        <v>1087</v>
      </c>
      <c r="L145" s="33">
        <v>1</v>
      </c>
      <c r="M145" s="157" t="s">
        <v>1368</v>
      </c>
      <c r="N145" s="157"/>
      <c r="O145" s="157" t="s">
        <v>470</v>
      </c>
      <c r="P145" s="164" t="s">
        <v>1370</v>
      </c>
    </row>
    <row r="146" s="93" customFormat="1" ht="20.1" customHeight="1" spans="1:16">
      <c r="A146" s="263" t="s">
        <v>471</v>
      </c>
      <c r="B146" s="264" t="s">
        <v>237</v>
      </c>
      <c r="C146" s="265">
        <f t="shared" ref="C146:I146" si="22">SUM(C147:C151)</f>
        <v>90</v>
      </c>
      <c r="D146" s="265">
        <f t="shared" si="19"/>
        <v>93</v>
      </c>
      <c r="E146" s="265">
        <f t="shared" si="22"/>
        <v>0</v>
      </c>
      <c r="F146" s="265">
        <f t="shared" si="22"/>
        <v>0</v>
      </c>
      <c r="G146" s="265">
        <f t="shared" si="22"/>
        <v>0</v>
      </c>
      <c r="H146" s="265">
        <f t="shared" si="22"/>
        <v>0</v>
      </c>
      <c r="I146" s="265">
        <f t="shared" si="22"/>
        <v>93</v>
      </c>
      <c r="J146" s="283">
        <f t="shared" si="21"/>
        <v>103.33</v>
      </c>
      <c r="K146" s="284" t="s">
        <v>1082</v>
      </c>
      <c r="L146" s="285"/>
      <c r="M146" s="263" t="s">
        <v>471</v>
      </c>
      <c r="N146" s="263" t="s">
        <v>455</v>
      </c>
      <c r="O146" s="263" t="s">
        <v>471</v>
      </c>
      <c r="P146" s="286" t="s">
        <v>1371</v>
      </c>
    </row>
    <row r="147" s="92" customFormat="1" ht="20.25" customHeight="1" spans="1:16">
      <c r="A147" s="157" t="s">
        <v>1372</v>
      </c>
      <c r="B147" s="269" t="s">
        <v>1086</v>
      </c>
      <c r="C147" s="267"/>
      <c r="D147" s="268">
        <f t="shared" si="19"/>
        <v>0</v>
      </c>
      <c r="E147" s="267"/>
      <c r="F147" s="267"/>
      <c r="G147" s="267"/>
      <c r="H147" s="267"/>
      <c r="I147" s="287"/>
      <c r="J147" s="288">
        <f t="shared" si="21"/>
        <v>0</v>
      </c>
      <c r="K147" s="276" t="s">
        <v>1087</v>
      </c>
      <c r="L147" s="33">
        <v>1</v>
      </c>
      <c r="M147" s="157" t="s">
        <v>1372</v>
      </c>
      <c r="N147" s="157"/>
      <c r="O147" s="157" t="s">
        <v>471</v>
      </c>
      <c r="P147" s="164" t="s">
        <v>1088</v>
      </c>
    </row>
    <row r="148" s="92" customFormat="1" ht="20.1" customHeight="1" spans="1:16">
      <c r="A148" s="157" t="s">
        <v>1373</v>
      </c>
      <c r="B148" s="269" t="s">
        <v>1090</v>
      </c>
      <c r="C148" s="267">
        <v>81</v>
      </c>
      <c r="D148" s="268">
        <f t="shared" si="19"/>
        <v>83</v>
      </c>
      <c r="E148" s="267"/>
      <c r="F148" s="267"/>
      <c r="G148" s="267"/>
      <c r="H148" s="267"/>
      <c r="I148" s="287">
        <v>83</v>
      </c>
      <c r="J148" s="288">
        <f t="shared" si="21"/>
        <v>102.47</v>
      </c>
      <c r="K148" s="276" t="s">
        <v>1087</v>
      </c>
      <c r="L148" s="33">
        <v>1</v>
      </c>
      <c r="M148" s="157" t="s">
        <v>1373</v>
      </c>
      <c r="N148" s="157"/>
      <c r="O148" s="157" t="s">
        <v>471</v>
      </c>
      <c r="P148" s="164" t="s">
        <v>1091</v>
      </c>
    </row>
    <row r="149" s="92" customFormat="1" ht="20.1" customHeight="1" spans="1:16">
      <c r="A149" s="157" t="s">
        <v>1374</v>
      </c>
      <c r="B149" s="266" t="s">
        <v>1093</v>
      </c>
      <c r="C149" s="267"/>
      <c r="D149" s="268">
        <f t="shared" si="19"/>
        <v>0</v>
      </c>
      <c r="E149" s="267"/>
      <c r="F149" s="267"/>
      <c r="G149" s="267"/>
      <c r="H149" s="267"/>
      <c r="I149" s="287"/>
      <c r="J149" s="288">
        <f t="shared" si="21"/>
        <v>0</v>
      </c>
      <c r="K149" s="276" t="s">
        <v>1087</v>
      </c>
      <c r="L149" s="33">
        <v>1</v>
      </c>
      <c r="M149" s="157" t="s">
        <v>1374</v>
      </c>
      <c r="N149" s="157"/>
      <c r="O149" s="157" t="s">
        <v>471</v>
      </c>
      <c r="P149" s="164" t="s">
        <v>1094</v>
      </c>
    </row>
    <row r="150" s="92" customFormat="1" ht="20.1" customHeight="1" spans="1:16">
      <c r="A150" s="157" t="s">
        <v>1375</v>
      </c>
      <c r="B150" s="266" t="s">
        <v>1376</v>
      </c>
      <c r="C150" s="267">
        <v>9</v>
      </c>
      <c r="D150" s="268">
        <f t="shared" si="19"/>
        <v>10</v>
      </c>
      <c r="E150" s="267"/>
      <c r="F150" s="267"/>
      <c r="G150" s="267"/>
      <c r="H150" s="267"/>
      <c r="I150" s="287">
        <v>10</v>
      </c>
      <c r="J150" s="288">
        <f t="shared" si="21"/>
        <v>111.11</v>
      </c>
      <c r="K150" s="276" t="s">
        <v>1087</v>
      </c>
      <c r="L150" s="33">
        <v>1</v>
      </c>
      <c r="M150" s="157" t="s">
        <v>1375</v>
      </c>
      <c r="N150" s="157"/>
      <c r="O150" s="157" t="s">
        <v>471</v>
      </c>
      <c r="P150" s="163" t="s">
        <v>1377</v>
      </c>
    </row>
    <row r="151" s="92" customFormat="1" ht="20.1" customHeight="1" spans="1:16">
      <c r="A151" s="157" t="s">
        <v>1378</v>
      </c>
      <c r="B151" s="266" t="s">
        <v>1379</v>
      </c>
      <c r="C151" s="267"/>
      <c r="D151" s="268">
        <f t="shared" si="19"/>
        <v>0</v>
      </c>
      <c r="E151" s="267"/>
      <c r="F151" s="267"/>
      <c r="G151" s="267"/>
      <c r="H151" s="267"/>
      <c r="I151" s="287"/>
      <c r="J151" s="288">
        <f t="shared" si="21"/>
        <v>0</v>
      </c>
      <c r="K151" s="276" t="s">
        <v>1087</v>
      </c>
      <c r="L151" s="33">
        <v>1</v>
      </c>
      <c r="M151" s="157" t="s">
        <v>1378</v>
      </c>
      <c r="N151" s="157"/>
      <c r="O151" s="157" t="s">
        <v>471</v>
      </c>
      <c r="P151" s="163" t="s">
        <v>1380</v>
      </c>
    </row>
    <row r="152" s="93" customFormat="1" ht="20.1" customHeight="1" spans="1:16">
      <c r="A152" s="263" t="s">
        <v>472</v>
      </c>
      <c r="B152" s="264" t="s">
        <v>238</v>
      </c>
      <c r="C152" s="265">
        <f t="shared" ref="C152:I152" si="23">SUM(C153:C158)</f>
        <v>43</v>
      </c>
      <c r="D152" s="265">
        <f t="shared" si="19"/>
        <v>42</v>
      </c>
      <c r="E152" s="265">
        <f t="shared" si="23"/>
        <v>0</v>
      </c>
      <c r="F152" s="265">
        <f t="shared" si="23"/>
        <v>0</v>
      </c>
      <c r="G152" s="265">
        <f t="shared" si="23"/>
        <v>0</v>
      </c>
      <c r="H152" s="265">
        <f t="shared" si="23"/>
        <v>0</v>
      </c>
      <c r="I152" s="265">
        <f t="shared" si="23"/>
        <v>42</v>
      </c>
      <c r="J152" s="283">
        <f t="shared" si="21"/>
        <v>97.67</v>
      </c>
      <c r="K152" s="284" t="s">
        <v>1082</v>
      </c>
      <c r="L152" s="285"/>
      <c r="M152" s="263" t="s">
        <v>472</v>
      </c>
      <c r="N152" s="263" t="s">
        <v>455</v>
      </c>
      <c r="O152" s="263" t="s">
        <v>472</v>
      </c>
      <c r="P152" s="286" t="s">
        <v>1381</v>
      </c>
    </row>
    <row r="153" s="92" customFormat="1" ht="20.1" customHeight="1" spans="1:16">
      <c r="A153" s="157" t="s">
        <v>1382</v>
      </c>
      <c r="B153" s="269" t="s">
        <v>1086</v>
      </c>
      <c r="C153" s="267">
        <v>43</v>
      </c>
      <c r="D153" s="268">
        <f t="shared" si="19"/>
        <v>41</v>
      </c>
      <c r="E153" s="267"/>
      <c r="F153" s="267"/>
      <c r="G153" s="267"/>
      <c r="H153" s="267"/>
      <c r="I153" s="287">
        <v>41</v>
      </c>
      <c r="J153" s="288">
        <f t="shared" si="21"/>
        <v>95.35</v>
      </c>
      <c r="K153" s="276" t="s">
        <v>1087</v>
      </c>
      <c r="L153" s="33">
        <v>1</v>
      </c>
      <c r="M153" s="157" t="s">
        <v>1382</v>
      </c>
      <c r="N153" s="157"/>
      <c r="O153" s="157" t="s">
        <v>472</v>
      </c>
      <c r="P153" s="164" t="s">
        <v>1088</v>
      </c>
    </row>
    <row r="154" s="92" customFormat="1" ht="20.1" customHeight="1" spans="1:16">
      <c r="A154" s="157" t="s">
        <v>1383</v>
      </c>
      <c r="B154" s="269" t="s">
        <v>1090</v>
      </c>
      <c r="C154" s="267"/>
      <c r="D154" s="268">
        <f t="shared" si="19"/>
        <v>0</v>
      </c>
      <c r="E154" s="267"/>
      <c r="F154" s="267"/>
      <c r="G154" s="267"/>
      <c r="H154" s="267"/>
      <c r="I154" s="287"/>
      <c r="J154" s="288">
        <f t="shared" si="21"/>
        <v>0</v>
      </c>
      <c r="K154" s="276" t="s">
        <v>1087</v>
      </c>
      <c r="L154" s="33">
        <v>1</v>
      </c>
      <c r="M154" s="157" t="s">
        <v>1383</v>
      </c>
      <c r="N154" s="157"/>
      <c r="O154" s="157" t="s">
        <v>472</v>
      </c>
      <c r="P154" s="164" t="s">
        <v>1091</v>
      </c>
    </row>
    <row r="155" s="92" customFormat="1" ht="20.1" customHeight="1" spans="1:16">
      <c r="A155" s="157" t="s">
        <v>1384</v>
      </c>
      <c r="B155" s="36" t="s">
        <v>1093</v>
      </c>
      <c r="C155" s="267"/>
      <c r="D155" s="268">
        <f t="shared" si="19"/>
        <v>1</v>
      </c>
      <c r="E155" s="267"/>
      <c r="F155" s="267"/>
      <c r="G155" s="267"/>
      <c r="H155" s="267"/>
      <c r="I155" s="287">
        <v>1</v>
      </c>
      <c r="J155" s="288">
        <f t="shared" si="21"/>
        <v>100</v>
      </c>
      <c r="K155" s="276" t="s">
        <v>1087</v>
      </c>
      <c r="L155" s="33">
        <v>1</v>
      </c>
      <c r="M155" s="157" t="s">
        <v>1384</v>
      </c>
      <c r="N155" s="157"/>
      <c r="O155" s="157" t="s">
        <v>472</v>
      </c>
      <c r="P155" s="164" t="s">
        <v>1094</v>
      </c>
    </row>
    <row r="156" s="92" customFormat="1" ht="20.1" customHeight="1" spans="1:16">
      <c r="A156" s="157" t="s">
        <v>1385</v>
      </c>
      <c r="B156" s="266" t="s">
        <v>1131</v>
      </c>
      <c r="C156" s="267"/>
      <c r="D156" s="268">
        <f t="shared" si="19"/>
        <v>0</v>
      </c>
      <c r="E156" s="267"/>
      <c r="F156" s="267"/>
      <c r="G156" s="267"/>
      <c r="H156" s="267"/>
      <c r="I156" s="287"/>
      <c r="J156" s="288">
        <f t="shared" si="21"/>
        <v>0</v>
      </c>
      <c r="K156" s="276" t="s">
        <v>1087</v>
      </c>
      <c r="L156" s="33">
        <v>1</v>
      </c>
      <c r="M156" s="157" t="s">
        <v>1385</v>
      </c>
      <c r="N156" s="157"/>
      <c r="O156" s="157" t="s">
        <v>472</v>
      </c>
      <c r="P156" s="164" t="s">
        <v>1132</v>
      </c>
    </row>
    <row r="157" s="93" customFormat="1" ht="20.1" customHeight="1" spans="1:16">
      <c r="A157" s="157" t="s">
        <v>1386</v>
      </c>
      <c r="B157" s="266" t="s">
        <v>1114</v>
      </c>
      <c r="C157" s="267"/>
      <c r="D157" s="268">
        <f t="shared" si="19"/>
        <v>0</v>
      </c>
      <c r="E157" s="267"/>
      <c r="F157" s="267"/>
      <c r="G157" s="267"/>
      <c r="H157" s="267"/>
      <c r="I157" s="291"/>
      <c r="J157" s="288">
        <f t="shared" si="21"/>
        <v>0</v>
      </c>
      <c r="K157" s="276" t="s">
        <v>1087</v>
      </c>
      <c r="L157" s="33">
        <v>1</v>
      </c>
      <c r="M157" s="157" t="s">
        <v>1386</v>
      </c>
      <c r="N157" s="157"/>
      <c r="O157" s="157" t="s">
        <v>472</v>
      </c>
      <c r="P157" s="164" t="s">
        <v>1115</v>
      </c>
    </row>
    <row r="158" s="92" customFormat="1" ht="20.1" customHeight="1" spans="1:16">
      <c r="A158" s="157" t="s">
        <v>1387</v>
      </c>
      <c r="B158" s="266" t="s">
        <v>1388</v>
      </c>
      <c r="C158" s="267"/>
      <c r="D158" s="268">
        <f t="shared" si="19"/>
        <v>0</v>
      </c>
      <c r="E158" s="267"/>
      <c r="F158" s="267"/>
      <c r="G158" s="267"/>
      <c r="H158" s="267"/>
      <c r="I158" s="287"/>
      <c r="J158" s="288">
        <f t="shared" si="21"/>
        <v>0</v>
      </c>
      <c r="K158" s="276" t="s">
        <v>1087</v>
      </c>
      <c r="L158" s="33">
        <v>1</v>
      </c>
      <c r="M158" s="157" t="s">
        <v>1387</v>
      </c>
      <c r="N158" s="157"/>
      <c r="O158" s="157" t="s">
        <v>472</v>
      </c>
      <c r="P158" s="163" t="s">
        <v>1389</v>
      </c>
    </row>
    <row r="159" s="93" customFormat="1" ht="20.1" customHeight="1" spans="1:16">
      <c r="A159" s="263" t="s">
        <v>473</v>
      </c>
      <c r="B159" s="264" t="s">
        <v>239</v>
      </c>
      <c r="C159" s="265">
        <f t="shared" ref="C159:I159" si="24">SUM(C160:C165)</f>
        <v>668</v>
      </c>
      <c r="D159" s="265">
        <f t="shared" si="19"/>
        <v>653</v>
      </c>
      <c r="E159" s="265">
        <f t="shared" si="24"/>
        <v>108</v>
      </c>
      <c r="F159" s="265">
        <f t="shared" si="24"/>
        <v>3</v>
      </c>
      <c r="G159" s="265">
        <f t="shared" si="24"/>
        <v>226</v>
      </c>
      <c r="H159" s="265">
        <f t="shared" si="24"/>
        <v>0</v>
      </c>
      <c r="I159" s="265">
        <f t="shared" si="24"/>
        <v>316</v>
      </c>
      <c r="J159" s="283">
        <f t="shared" si="21"/>
        <v>97.75</v>
      </c>
      <c r="K159" s="284" t="s">
        <v>1082</v>
      </c>
      <c r="L159" s="285"/>
      <c r="M159" s="263" t="s">
        <v>473</v>
      </c>
      <c r="N159" s="263" t="s">
        <v>455</v>
      </c>
      <c r="O159" s="263" t="s">
        <v>473</v>
      </c>
      <c r="P159" s="286" t="s">
        <v>1390</v>
      </c>
    </row>
    <row r="160" s="92" customFormat="1" ht="20.1" customHeight="1" spans="1:16">
      <c r="A160" s="157" t="s">
        <v>1391</v>
      </c>
      <c r="B160" s="269" t="s">
        <v>1086</v>
      </c>
      <c r="C160" s="267">
        <v>149</v>
      </c>
      <c r="D160" s="268">
        <f t="shared" si="19"/>
        <v>168</v>
      </c>
      <c r="E160" s="267"/>
      <c r="F160" s="267"/>
      <c r="G160" s="267"/>
      <c r="H160" s="267"/>
      <c r="I160" s="287">
        <v>168</v>
      </c>
      <c r="J160" s="288">
        <f t="shared" si="21"/>
        <v>112.75</v>
      </c>
      <c r="K160" s="276" t="s">
        <v>1087</v>
      </c>
      <c r="L160" s="33">
        <v>1</v>
      </c>
      <c r="M160" s="157" t="s">
        <v>1391</v>
      </c>
      <c r="N160" s="157"/>
      <c r="O160" s="157" t="s">
        <v>473</v>
      </c>
      <c r="P160" s="164" t="s">
        <v>1088</v>
      </c>
    </row>
    <row r="161" s="92" customFormat="1" ht="20.1" customHeight="1" spans="1:16">
      <c r="A161" s="157" t="s">
        <v>1392</v>
      </c>
      <c r="B161" s="269" t="s">
        <v>1090</v>
      </c>
      <c r="C161" s="267">
        <v>297</v>
      </c>
      <c r="D161" s="268">
        <f t="shared" si="19"/>
        <v>202</v>
      </c>
      <c r="E161" s="267">
        <v>108</v>
      </c>
      <c r="F161" s="267">
        <v>3</v>
      </c>
      <c r="G161" s="267">
        <v>1</v>
      </c>
      <c r="H161" s="267"/>
      <c r="I161" s="287">
        <v>90</v>
      </c>
      <c r="J161" s="288">
        <f t="shared" si="21"/>
        <v>68.01</v>
      </c>
      <c r="K161" s="276" t="s">
        <v>1087</v>
      </c>
      <c r="L161" s="33">
        <v>1</v>
      </c>
      <c r="M161" s="157" t="s">
        <v>1392</v>
      </c>
      <c r="N161" s="157"/>
      <c r="O161" s="157" t="s">
        <v>473</v>
      </c>
      <c r="P161" s="164" t="s">
        <v>1091</v>
      </c>
    </row>
    <row r="162" s="92" customFormat="1" ht="20.1" customHeight="1" spans="1:16">
      <c r="A162" s="157" t="s">
        <v>1393</v>
      </c>
      <c r="B162" s="266" t="s">
        <v>1093</v>
      </c>
      <c r="C162" s="267"/>
      <c r="D162" s="268">
        <f t="shared" si="19"/>
        <v>0</v>
      </c>
      <c r="E162" s="267"/>
      <c r="F162" s="267"/>
      <c r="G162" s="267"/>
      <c r="H162" s="267"/>
      <c r="I162" s="287"/>
      <c r="J162" s="288">
        <f t="shared" si="21"/>
        <v>0</v>
      </c>
      <c r="K162" s="276" t="s">
        <v>1087</v>
      </c>
      <c r="L162" s="33">
        <v>1</v>
      </c>
      <c r="M162" s="157" t="s">
        <v>1393</v>
      </c>
      <c r="N162" s="157"/>
      <c r="O162" s="157" t="s">
        <v>473</v>
      </c>
      <c r="P162" s="164" t="s">
        <v>1094</v>
      </c>
    </row>
    <row r="163" s="92" customFormat="1" ht="20.1" customHeight="1" spans="1:16">
      <c r="A163" s="157" t="s">
        <v>1394</v>
      </c>
      <c r="B163" s="266" t="s">
        <v>1395</v>
      </c>
      <c r="C163" s="267"/>
      <c r="D163" s="268">
        <f t="shared" si="19"/>
        <v>0</v>
      </c>
      <c r="E163" s="267"/>
      <c r="F163" s="267"/>
      <c r="G163" s="267"/>
      <c r="H163" s="267"/>
      <c r="I163" s="287"/>
      <c r="J163" s="288">
        <f t="shared" si="21"/>
        <v>0</v>
      </c>
      <c r="K163" s="276" t="s">
        <v>1087</v>
      </c>
      <c r="L163" s="33">
        <v>1</v>
      </c>
      <c r="M163" s="157" t="s">
        <v>1394</v>
      </c>
      <c r="N163" s="157"/>
      <c r="O163" s="157" t="s">
        <v>473</v>
      </c>
      <c r="P163" s="164" t="s">
        <v>1396</v>
      </c>
    </row>
    <row r="164" s="92" customFormat="1" ht="20.25" customHeight="1" spans="1:16">
      <c r="A164" s="157" t="s">
        <v>1397</v>
      </c>
      <c r="B164" s="269" t="s">
        <v>1114</v>
      </c>
      <c r="C164" s="267"/>
      <c r="D164" s="268">
        <f t="shared" si="19"/>
        <v>0</v>
      </c>
      <c r="E164" s="267"/>
      <c r="F164" s="267"/>
      <c r="G164" s="267"/>
      <c r="H164" s="267"/>
      <c r="I164" s="287"/>
      <c r="J164" s="288">
        <f t="shared" si="21"/>
        <v>0</v>
      </c>
      <c r="K164" s="276" t="s">
        <v>1087</v>
      </c>
      <c r="L164" s="33">
        <v>1</v>
      </c>
      <c r="M164" s="157" t="s">
        <v>1397</v>
      </c>
      <c r="N164" s="157"/>
      <c r="O164" s="157" t="s">
        <v>473</v>
      </c>
      <c r="P164" s="164" t="s">
        <v>1115</v>
      </c>
    </row>
    <row r="165" s="92" customFormat="1" ht="20.1" customHeight="1" spans="1:16">
      <c r="A165" s="157" t="s">
        <v>1398</v>
      </c>
      <c r="B165" s="269" t="s">
        <v>1399</v>
      </c>
      <c r="C165" s="267">
        <v>222</v>
      </c>
      <c r="D165" s="268">
        <f t="shared" si="19"/>
        <v>283</v>
      </c>
      <c r="E165" s="267"/>
      <c r="F165" s="267"/>
      <c r="G165" s="267">
        <v>225</v>
      </c>
      <c r="H165" s="267"/>
      <c r="I165" s="287">
        <v>58</v>
      </c>
      <c r="J165" s="288">
        <f t="shared" si="21"/>
        <v>127.48</v>
      </c>
      <c r="K165" s="276" t="s">
        <v>1087</v>
      </c>
      <c r="L165" s="33">
        <v>1</v>
      </c>
      <c r="M165" s="157" t="s">
        <v>1398</v>
      </c>
      <c r="N165" s="157"/>
      <c r="O165" s="157" t="s">
        <v>473</v>
      </c>
      <c r="P165" s="163" t="s">
        <v>1400</v>
      </c>
    </row>
    <row r="166" s="93" customFormat="1" ht="20.1" customHeight="1" spans="1:16">
      <c r="A166" s="263" t="s">
        <v>474</v>
      </c>
      <c r="B166" s="264" t="s">
        <v>240</v>
      </c>
      <c r="C166" s="265">
        <f t="shared" ref="C166:I166" si="25">SUM(C167:C172)</f>
        <v>564</v>
      </c>
      <c r="D166" s="265">
        <f t="shared" si="19"/>
        <v>419</v>
      </c>
      <c r="E166" s="265">
        <f t="shared" si="25"/>
        <v>0</v>
      </c>
      <c r="F166" s="265">
        <f t="shared" si="25"/>
        <v>0</v>
      </c>
      <c r="G166" s="265">
        <f t="shared" si="25"/>
        <v>57</v>
      </c>
      <c r="H166" s="265">
        <f t="shared" si="25"/>
        <v>0</v>
      </c>
      <c r="I166" s="265">
        <f t="shared" si="25"/>
        <v>362</v>
      </c>
      <c r="J166" s="283">
        <f t="shared" si="21"/>
        <v>74.29</v>
      </c>
      <c r="K166" s="284" t="s">
        <v>1082</v>
      </c>
      <c r="L166" s="285"/>
      <c r="M166" s="263" t="s">
        <v>474</v>
      </c>
      <c r="N166" s="263" t="s">
        <v>455</v>
      </c>
      <c r="O166" s="263" t="s">
        <v>474</v>
      </c>
      <c r="P166" s="286" t="s">
        <v>1401</v>
      </c>
    </row>
    <row r="167" s="92" customFormat="1" ht="20.1" customHeight="1" spans="1:16">
      <c r="A167" s="157" t="s">
        <v>1402</v>
      </c>
      <c r="B167" s="269" t="s">
        <v>1086</v>
      </c>
      <c r="C167" s="267">
        <v>476</v>
      </c>
      <c r="D167" s="268">
        <f t="shared" si="19"/>
        <v>343</v>
      </c>
      <c r="E167" s="267"/>
      <c r="F167" s="267"/>
      <c r="G167" s="267"/>
      <c r="H167" s="267"/>
      <c r="I167" s="287">
        <v>343</v>
      </c>
      <c r="J167" s="288">
        <f t="shared" si="21"/>
        <v>72.06</v>
      </c>
      <c r="K167" s="276" t="s">
        <v>1087</v>
      </c>
      <c r="L167" s="33">
        <v>1</v>
      </c>
      <c r="M167" s="157" t="s">
        <v>1402</v>
      </c>
      <c r="N167" s="157"/>
      <c r="O167" s="157" t="s">
        <v>474</v>
      </c>
      <c r="P167" s="164" t="s">
        <v>1088</v>
      </c>
    </row>
    <row r="168" s="92" customFormat="1" ht="20.1" customHeight="1" spans="1:16">
      <c r="A168" s="157" t="s">
        <v>1403</v>
      </c>
      <c r="B168" s="266" t="s">
        <v>1090</v>
      </c>
      <c r="C168" s="267"/>
      <c r="D168" s="268">
        <f t="shared" si="19"/>
        <v>0</v>
      </c>
      <c r="E168" s="267"/>
      <c r="F168" s="267"/>
      <c r="G168" s="267"/>
      <c r="H168" s="267"/>
      <c r="I168" s="287"/>
      <c r="J168" s="288">
        <f t="shared" si="21"/>
        <v>0</v>
      </c>
      <c r="K168" s="276" t="s">
        <v>1087</v>
      </c>
      <c r="L168" s="33">
        <v>1</v>
      </c>
      <c r="M168" s="157" t="s">
        <v>1403</v>
      </c>
      <c r="N168" s="157"/>
      <c r="O168" s="157" t="s">
        <v>474</v>
      </c>
      <c r="P168" s="164" t="s">
        <v>1091</v>
      </c>
    </row>
    <row r="169" s="92" customFormat="1" ht="20.1" customHeight="1" spans="1:16">
      <c r="A169" s="157" t="s">
        <v>1404</v>
      </c>
      <c r="B169" s="266" t="s">
        <v>1093</v>
      </c>
      <c r="C169" s="267"/>
      <c r="D169" s="268">
        <f t="shared" si="19"/>
        <v>0</v>
      </c>
      <c r="E169" s="267"/>
      <c r="F169" s="267"/>
      <c r="G169" s="267"/>
      <c r="H169" s="267"/>
      <c r="I169" s="287"/>
      <c r="J169" s="288">
        <f t="shared" si="21"/>
        <v>0</v>
      </c>
      <c r="K169" s="276" t="s">
        <v>1087</v>
      </c>
      <c r="L169" s="33">
        <v>1</v>
      </c>
      <c r="M169" s="157" t="s">
        <v>1404</v>
      </c>
      <c r="N169" s="157"/>
      <c r="O169" s="157" t="s">
        <v>474</v>
      </c>
      <c r="P169" s="164" t="s">
        <v>1094</v>
      </c>
    </row>
    <row r="170" s="92" customFormat="1" ht="20.1" customHeight="1" spans="1:16">
      <c r="A170" s="157" t="s">
        <v>1405</v>
      </c>
      <c r="B170" s="266" t="s">
        <v>1406</v>
      </c>
      <c r="C170" s="267">
        <v>1</v>
      </c>
      <c r="D170" s="268">
        <f t="shared" si="19"/>
        <v>0</v>
      </c>
      <c r="E170" s="267"/>
      <c r="F170" s="267"/>
      <c r="G170" s="267"/>
      <c r="H170" s="267"/>
      <c r="I170" s="287"/>
      <c r="J170" s="288">
        <f t="shared" si="21"/>
        <v>-100</v>
      </c>
      <c r="K170" s="276" t="s">
        <v>1087</v>
      </c>
      <c r="L170" s="33">
        <v>1</v>
      </c>
      <c r="M170" s="157" t="s">
        <v>1405</v>
      </c>
      <c r="N170" s="157"/>
      <c r="O170" s="157" t="s">
        <v>474</v>
      </c>
      <c r="P170" s="164" t="s">
        <v>1407</v>
      </c>
    </row>
    <row r="171" s="92" customFormat="1" ht="20.1" customHeight="1" spans="1:16">
      <c r="A171" s="157" t="s">
        <v>1408</v>
      </c>
      <c r="B171" s="269" t="s">
        <v>1114</v>
      </c>
      <c r="C171" s="267"/>
      <c r="D171" s="268">
        <f t="shared" si="19"/>
        <v>0</v>
      </c>
      <c r="E171" s="267"/>
      <c r="F171" s="267"/>
      <c r="G171" s="267"/>
      <c r="H171" s="267"/>
      <c r="I171" s="287"/>
      <c r="J171" s="288">
        <f t="shared" si="21"/>
        <v>0</v>
      </c>
      <c r="K171" s="276" t="s">
        <v>1087</v>
      </c>
      <c r="L171" s="33">
        <v>1</v>
      </c>
      <c r="M171" s="157" t="s">
        <v>1408</v>
      </c>
      <c r="N171" s="157"/>
      <c r="O171" s="157" t="s">
        <v>474</v>
      </c>
      <c r="P171" s="164" t="s">
        <v>1115</v>
      </c>
    </row>
    <row r="172" s="92" customFormat="1" ht="20.1" customHeight="1" spans="1:16">
      <c r="A172" s="157" t="s">
        <v>1409</v>
      </c>
      <c r="B172" s="269" t="s">
        <v>1410</v>
      </c>
      <c r="C172" s="267">
        <v>87</v>
      </c>
      <c r="D172" s="268">
        <f t="shared" si="19"/>
        <v>76</v>
      </c>
      <c r="E172" s="267"/>
      <c r="F172" s="267"/>
      <c r="G172" s="267">
        <v>57</v>
      </c>
      <c r="H172" s="267"/>
      <c r="I172" s="287">
        <v>19</v>
      </c>
      <c r="J172" s="288">
        <f t="shared" si="21"/>
        <v>87.36</v>
      </c>
      <c r="K172" s="276" t="s">
        <v>1087</v>
      </c>
      <c r="L172" s="33">
        <v>1</v>
      </c>
      <c r="M172" s="157" t="s">
        <v>1409</v>
      </c>
      <c r="N172" s="157"/>
      <c r="O172" s="157" t="s">
        <v>474</v>
      </c>
      <c r="P172" s="163" t="s">
        <v>1411</v>
      </c>
    </row>
    <row r="173" s="93" customFormat="1" ht="18" customHeight="1" spans="1:16">
      <c r="A173" s="263" t="s">
        <v>475</v>
      </c>
      <c r="B173" s="264" t="s">
        <v>241</v>
      </c>
      <c r="C173" s="265">
        <f t="shared" ref="C173:I173" si="26">SUM(C174:C179)</f>
        <v>954</v>
      </c>
      <c r="D173" s="265">
        <f t="shared" si="19"/>
        <v>1955</v>
      </c>
      <c r="E173" s="265">
        <f t="shared" si="26"/>
        <v>0</v>
      </c>
      <c r="F173" s="265">
        <f t="shared" si="26"/>
        <v>47</v>
      </c>
      <c r="G173" s="265">
        <f t="shared" si="26"/>
        <v>656</v>
      </c>
      <c r="H173" s="265">
        <f t="shared" si="26"/>
        <v>0</v>
      </c>
      <c r="I173" s="265">
        <f t="shared" si="26"/>
        <v>1252</v>
      </c>
      <c r="J173" s="283">
        <f t="shared" si="21"/>
        <v>204.93</v>
      </c>
      <c r="K173" s="284" t="s">
        <v>1082</v>
      </c>
      <c r="L173" s="285"/>
      <c r="M173" s="263" t="s">
        <v>475</v>
      </c>
      <c r="N173" s="263" t="s">
        <v>455</v>
      </c>
      <c r="O173" s="263" t="s">
        <v>475</v>
      </c>
      <c r="P173" s="286" t="s">
        <v>1412</v>
      </c>
    </row>
    <row r="174" s="92" customFormat="1" ht="20.1" customHeight="1" spans="1:16">
      <c r="A174" s="157" t="s">
        <v>1413</v>
      </c>
      <c r="B174" s="266" t="s">
        <v>1086</v>
      </c>
      <c r="C174" s="267">
        <v>480</v>
      </c>
      <c r="D174" s="268">
        <f t="shared" si="19"/>
        <v>307</v>
      </c>
      <c r="E174" s="267"/>
      <c r="F174" s="267"/>
      <c r="G174" s="267"/>
      <c r="H174" s="267"/>
      <c r="I174" s="287">
        <v>307</v>
      </c>
      <c r="J174" s="288">
        <f t="shared" si="21"/>
        <v>63.96</v>
      </c>
      <c r="K174" s="276" t="s">
        <v>1087</v>
      </c>
      <c r="L174" s="33">
        <v>1</v>
      </c>
      <c r="M174" s="157" t="s">
        <v>1413</v>
      </c>
      <c r="N174" s="157"/>
      <c r="O174" s="157" t="s">
        <v>475</v>
      </c>
      <c r="P174" s="164" t="s">
        <v>1088</v>
      </c>
    </row>
    <row r="175" s="92" customFormat="1" ht="20.1" customHeight="1" spans="1:16">
      <c r="A175" s="157" t="s">
        <v>1414</v>
      </c>
      <c r="B175" s="266" t="s">
        <v>1090</v>
      </c>
      <c r="C175" s="267">
        <v>17</v>
      </c>
      <c r="D175" s="268">
        <f t="shared" si="19"/>
        <v>233</v>
      </c>
      <c r="E175" s="267"/>
      <c r="F175" s="267">
        <v>47</v>
      </c>
      <c r="G175" s="267">
        <v>53</v>
      </c>
      <c r="H175" s="267"/>
      <c r="I175" s="287">
        <v>133</v>
      </c>
      <c r="J175" s="288">
        <f t="shared" si="21"/>
        <v>1370.59</v>
      </c>
      <c r="K175" s="276" t="s">
        <v>1087</v>
      </c>
      <c r="L175" s="33">
        <v>1</v>
      </c>
      <c r="M175" s="157" t="s">
        <v>1414</v>
      </c>
      <c r="N175" s="157"/>
      <c r="O175" s="157" t="s">
        <v>475</v>
      </c>
      <c r="P175" s="164" t="s">
        <v>1091</v>
      </c>
    </row>
    <row r="176" s="92" customFormat="1" ht="20.1" customHeight="1" spans="1:16">
      <c r="A176" s="157" t="s">
        <v>1415</v>
      </c>
      <c r="B176" s="266" t="s">
        <v>1093</v>
      </c>
      <c r="C176" s="267"/>
      <c r="D176" s="268">
        <f t="shared" si="19"/>
        <v>0</v>
      </c>
      <c r="E176" s="267"/>
      <c r="F176" s="267"/>
      <c r="G176" s="267"/>
      <c r="H176" s="267"/>
      <c r="I176" s="287"/>
      <c r="J176" s="288">
        <f t="shared" si="21"/>
        <v>0</v>
      </c>
      <c r="K176" s="276" t="s">
        <v>1087</v>
      </c>
      <c r="L176" s="33">
        <v>1</v>
      </c>
      <c r="M176" s="157" t="s">
        <v>1415</v>
      </c>
      <c r="N176" s="157"/>
      <c r="O176" s="157" t="s">
        <v>475</v>
      </c>
      <c r="P176" s="164" t="s">
        <v>1094</v>
      </c>
    </row>
    <row r="177" s="92" customFormat="1" ht="20.1" customHeight="1" spans="1:16">
      <c r="A177" s="157" t="s">
        <v>1416</v>
      </c>
      <c r="B177" s="269" t="s">
        <v>1417</v>
      </c>
      <c r="C177" s="267"/>
      <c r="D177" s="268">
        <f t="shared" si="19"/>
        <v>0</v>
      </c>
      <c r="E177" s="267"/>
      <c r="F177" s="267"/>
      <c r="G177" s="267"/>
      <c r="H177" s="267"/>
      <c r="I177" s="287"/>
      <c r="J177" s="288">
        <f t="shared" si="21"/>
        <v>0</v>
      </c>
      <c r="K177" s="276" t="s">
        <v>1087</v>
      </c>
      <c r="L177" s="33">
        <v>1</v>
      </c>
      <c r="M177" s="157" t="s">
        <v>1416</v>
      </c>
      <c r="N177" s="157"/>
      <c r="O177" s="157" t="s">
        <v>475</v>
      </c>
      <c r="P177" s="164" t="s">
        <v>1418</v>
      </c>
    </row>
    <row r="178" s="92" customFormat="1" ht="20.1" customHeight="1" spans="1:16">
      <c r="A178" s="157" t="s">
        <v>1419</v>
      </c>
      <c r="B178" s="269" t="s">
        <v>1114</v>
      </c>
      <c r="C178" s="267">
        <v>23</v>
      </c>
      <c r="D178" s="268">
        <f t="shared" si="19"/>
        <v>17</v>
      </c>
      <c r="E178" s="267"/>
      <c r="F178" s="267"/>
      <c r="G178" s="267"/>
      <c r="H178" s="267"/>
      <c r="I178" s="287">
        <v>17</v>
      </c>
      <c r="J178" s="288">
        <f t="shared" si="21"/>
        <v>73.91</v>
      </c>
      <c r="K178" s="276" t="s">
        <v>1087</v>
      </c>
      <c r="L178" s="33">
        <v>1</v>
      </c>
      <c r="M178" s="157" t="s">
        <v>1419</v>
      </c>
      <c r="N178" s="157"/>
      <c r="O178" s="157" t="s">
        <v>475</v>
      </c>
      <c r="P178" s="164" t="s">
        <v>1115</v>
      </c>
    </row>
    <row r="179" s="92" customFormat="1" ht="20.1" customHeight="1" spans="1:16">
      <c r="A179" s="157" t="s">
        <v>1420</v>
      </c>
      <c r="B179" s="269" t="s">
        <v>1421</v>
      </c>
      <c r="C179" s="267">
        <v>434</v>
      </c>
      <c r="D179" s="268">
        <f t="shared" si="19"/>
        <v>1398</v>
      </c>
      <c r="E179" s="267"/>
      <c r="F179" s="267"/>
      <c r="G179" s="267">
        <v>603</v>
      </c>
      <c r="H179" s="267"/>
      <c r="I179" s="287">
        <v>795</v>
      </c>
      <c r="J179" s="288">
        <f t="shared" si="21"/>
        <v>322.12</v>
      </c>
      <c r="K179" s="276" t="s">
        <v>1087</v>
      </c>
      <c r="L179" s="33">
        <v>1</v>
      </c>
      <c r="M179" s="157" t="s">
        <v>1420</v>
      </c>
      <c r="N179" s="157"/>
      <c r="O179" s="157" t="s">
        <v>475</v>
      </c>
      <c r="P179" s="163" t="s">
        <v>1422</v>
      </c>
    </row>
    <row r="180" s="93" customFormat="1" ht="20.1" customHeight="1" spans="1:16">
      <c r="A180" s="263" t="s">
        <v>476</v>
      </c>
      <c r="B180" s="264" t="s">
        <v>242</v>
      </c>
      <c r="C180" s="265">
        <f t="shared" ref="C180:I180" si="27">SUM(C181:C186)</f>
        <v>195</v>
      </c>
      <c r="D180" s="265">
        <f t="shared" si="19"/>
        <v>156</v>
      </c>
      <c r="E180" s="265">
        <f t="shared" si="27"/>
        <v>0</v>
      </c>
      <c r="F180" s="265">
        <f t="shared" si="27"/>
        <v>0</v>
      </c>
      <c r="G180" s="265">
        <f t="shared" si="27"/>
        <v>0</v>
      </c>
      <c r="H180" s="265">
        <f t="shared" si="27"/>
        <v>0</v>
      </c>
      <c r="I180" s="265">
        <f t="shared" si="27"/>
        <v>156</v>
      </c>
      <c r="J180" s="283">
        <f t="shared" si="21"/>
        <v>80</v>
      </c>
      <c r="K180" s="284" t="s">
        <v>1082</v>
      </c>
      <c r="L180" s="285"/>
      <c r="M180" s="263" t="s">
        <v>476</v>
      </c>
      <c r="N180" s="263" t="s">
        <v>455</v>
      </c>
      <c r="O180" s="263" t="s">
        <v>476</v>
      </c>
      <c r="P180" s="286" t="s">
        <v>1423</v>
      </c>
    </row>
    <row r="181" s="92" customFormat="1" ht="20.1" customHeight="1" spans="1:16">
      <c r="A181" s="157" t="s">
        <v>1424</v>
      </c>
      <c r="B181" s="36" t="s">
        <v>1086</v>
      </c>
      <c r="C181" s="267">
        <v>160</v>
      </c>
      <c r="D181" s="268">
        <f t="shared" si="19"/>
        <v>117</v>
      </c>
      <c r="E181" s="267"/>
      <c r="F181" s="267"/>
      <c r="G181" s="267"/>
      <c r="H181" s="267"/>
      <c r="I181" s="287">
        <v>117</v>
      </c>
      <c r="J181" s="288">
        <f t="shared" si="21"/>
        <v>73.13</v>
      </c>
      <c r="K181" s="276" t="s">
        <v>1087</v>
      </c>
      <c r="L181" s="33">
        <v>1</v>
      </c>
      <c r="M181" s="157" t="s">
        <v>1424</v>
      </c>
      <c r="N181" s="157"/>
      <c r="O181" s="157" t="s">
        <v>476</v>
      </c>
      <c r="P181" s="164" t="s">
        <v>1088</v>
      </c>
    </row>
    <row r="182" s="92" customFormat="1" ht="20.1" customHeight="1" spans="1:16">
      <c r="A182" s="157" t="s">
        <v>1425</v>
      </c>
      <c r="B182" s="266" t="s">
        <v>1090</v>
      </c>
      <c r="C182" s="267">
        <v>3</v>
      </c>
      <c r="D182" s="268">
        <f t="shared" si="19"/>
        <v>30</v>
      </c>
      <c r="E182" s="267"/>
      <c r="F182" s="267"/>
      <c r="G182" s="267"/>
      <c r="H182" s="267"/>
      <c r="I182" s="287">
        <v>30</v>
      </c>
      <c r="J182" s="288">
        <f t="shared" si="21"/>
        <v>1000</v>
      </c>
      <c r="K182" s="276" t="s">
        <v>1087</v>
      </c>
      <c r="L182" s="33">
        <v>1</v>
      </c>
      <c r="M182" s="157" t="s">
        <v>1425</v>
      </c>
      <c r="N182" s="157"/>
      <c r="O182" s="157" t="s">
        <v>476</v>
      </c>
      <c r="P182" s="164" t="s">
        <v>1091</v>
      </c>
    </row>
    <row r="183" s="92" customFormat="1" ht="20.1" customHeight="1" spans="1:16">
      <c r="A183" s="157" t="s">
        <v>1426</v>
      </c>
      <c r="B183" s="266" t="s">
        <v>1093</v>
      </c>
      <c r="C183" s="267"/>
      <c r="D183" s="268">
        <f t="shared" si="19"/>
        <v>0</v>
      </c>
      <c r="E183" s="267"/>
      <c r="F183" s="267"/>
      <c r="G183" s="267"/>
      <c r="H183" s="267"/>
      <c r="I183" s="287"/>
      <c r="J183" s="288">
        <f t="shared" si="21"/>
        <v>0</v>
      </c>
      <c r="K183" s="276" t="s">
        <v>1087</v>
      </c>
      <c r="L183" s="33">
        <v>1</v>
      </c>
      <c r="M183" s="157" t="s">
        <v>1426</v>
      </c>
      <c r="N183" s="157"/>
      <c r="O183" s="157" t="s">
        <v>476</v>
      </c>
      <c r="P183" s="164" t="s">
        <v>1094</v>
      </c>
    </row>
    <row r="184" s="92" customFormat="1" ht="20.1" customHeight="1" spans="1:16">
      <c r="A184" s="157" t="s">
        <v>1427</v>
      </c>
      <c r="B184" s="266" t="s">
        <v>1428</v>
      </c>
      <c r="C184" s="267"/>
      <c r="D184" s="268">
        <f t="shared" si="19"/>
        <v>0</v>
      </c>
      <c r="E184" s="267"/>
      <c r="F184" s="267"/>
      <c r="G184" s="267"/>
      <c r="H184" s="267"/>
      <c r="I184" s="287"/>
      <c r="J184" s="288"/>
      <c r="K184" s="276" t="s">
        <v>1087</v>
      </c>
      <c r="L184" s="33">
        <v>1</v>
      </c>
      <c r="M184" s="157" t="s">
        <v>1427</v>
      </c>
      <c r="N184" s="157"/>
      <c r="O184" s="157" t="s">
        <v>476</v>
      </c>
      <c r="P184" s="164" t="s">
        <v>1429</v>
      </c>
    </row>
    <row r="185" s="92" customFormat="1" ht="20.1" customHeight="1" spans="1:16">
      <c r="A185" s="157" t="s">
        <v>1430</v>
      </c>
      <c r="B185" s="266" t="s">
        <v>1114</v>
      </c>
      <c r="C185" s="267"/>
      <c r="D185" s="268">
        <f t="shared" si="19"/>
        <v>0</v>
      </c>
      <c r="E185" s="267"/>
      <c r="F185" s="267"/>
      <c r="G185" s="267"/>
      <c r="H185" s="267"/>
      <c r="I185" s="287"/>
      <c r="J185" s="288">
        <f t="shared" ref="J185:J210" si="28">ROUND(IF(C185=0,IF(D185=0,0,1),IF(D185=0,-1,D185/C185)),4)*100</f>
        <v>0</v>
      </c>
      <c r="K185" s="276" t="s">
        <v>1087</v>
      </c>
      <c r="L185" s="33">
        <v>1</v>
      </c>
      <c r="M185" s="157" t="s">
        <v>1430</v>
      </c>
      <c r="N185" s="157"/>
      <c r="O185" s="157" t="s">
        <v>476</v>
      </c>
      <c r="P185" s="164" t="s">
        <v>1115</v>
      </c>
    </row>
    <row r="186" s="92" customFormat="1" ht="20.1" customHeight="1" spans="1:16">
      <c r="A186" s="157" t="s">
        <v>1431</v>
      </c>
      <c r="B186" s="269" t="s">
        <v>1432</v>
      </c>
      <c r="C186" s="267">
        <v>32</v>
      </c>
      <c r="D186" s="268">
        <f t="shared" si="19"/>
        <v>9</v>
      </c>
      <c r="E186" s="267"/>
      <c r="F186" s="267"/>
      <c r="G186" s="267"/>
      <c r="H186" s="267"/>
      <c r="I186" s="287">
        <v>9</v>
      </c>
      <c r="J186" s="288">
        <f t="shared" si="28"/>
        <v>28.13</v>
      </c>
      <c r="K186" s="276" t="s">
        <v>1087</v>
      </c>
      <c r="L186" s="33">
        <v>1</v>
      </c>
      <c r="M186" s="157" t="s">
        <v>1431</v>
      </c>
      <c r="N186" s="157"/>
      <c r="O186" s="157" t="s">
        <v>476</v>
      </c>
      <c r="P186" s="163" t="s">
        <v>1433</v>
      </c>
    </row>
    <row r="187" s="93" customFormat="1" ht="20.1" customHeight="1" spans="1:16">
      <c r="A187" s="263" t="s">
        <v>477</v>
      </c>
      <c r="B187" s="264" t="s">
        <v>243</v>
      </c>
      <c r="C187" s="265">
        <f t="shared" ref="C187:I187" si="29">SUM(C188:C194)</f>
        <v>256</v>
      </c>
      <c r="D187" s="265">
        <f t="shared" si="19"/>
        <v>251</v>
      </c>
      <c r="E187" s="265">
        <f t="shared" si="29"/>
        <v>0</v>
      </c>
      <c r="F187" s="265">
        <f t="shared" si="29"/>
        <v>0</v>
      </c>
      <c r="G187" s="265">
        <f t="shared" si="29"/>
        <v>6</v>
      </c>
      <c r="H187" s="265">
        <f t="shared" si="29"/>
        <v>0</v>
      </c>
      <c r="I187" s="265">
        <f t="shared" si="29"/>
        <v>245</v>
      </c>
      <c r="J187" s="283">
        <f t="shared" si="28"/>
        <v>98.05</v>
      </c>
      <c r="K187" s="284" t="s">
        <v>1082</v>
      </c>
      <c r="L187" s="285"/>
      <c r="M187" s="263" t="s">
        <v>477</v>
      </c>
      <c r="N187" s="263" t="s">
        <v>455</v>
      </c>
      <c r="O187" s="263" t="s">
        <v>477</v>
      </c>
      <c r="P187" s="286" t="s">
        <v>1434</v>
      </c>
    </row>
    <row r="188" s="92" customFormat="1" ht="20.1" customHeight="1" spans="1:16">
      <c r="A188" s="157" t="s">
        <v>1435</v>
      </c>
      <c r="B188" s="269" t="s">
        <v>1086</v>
      </c>
      <c r="C188" s="267">
        <v>256</v>
      </c>
      <c r="D188" s="268">
        <f t="shared" si="19"/>
        <v>242</v>
      </c>
      <c r="E188" s="267"/>
      <c r="F188" s="267"/>
      <c r="G188" s="267"/>
      <c r="H188" s="267"/>
      <c r="I188" s="287">
        <v>242</v>
      </c>
      <c r="J188" s="288">
        <f t="shared" si="28"/>
        <v>94.53</v>
      </c>
      <c r="K188" s="276" t="s">
        <v>1087</v>
      </c>
      <c r="L188" s="33">
        <v>1</v>
      </c>
      <c r="M188" s="157" t="s">
        <v>1435</v>
      </c>
      <c r="N188" s="157"/>
      <c r="O188" s="157" t="s">
        <v>477</v>
      </c>
      <c r="P188" s="164" t="s">
        <v>1088</v>
      </c>
    </row>
    <row r="189" s="92" customFormat="1" ht="20.1" customHeight="1" spans="1:16">
      <c r="A189" s="157" t="s">
        <v>1436</v>
      </c>
      <c r="B189" s="266" t="s">
        <v>1090</v>
      </c>
      <c r="C189" s="267">
        <v>0</v>
      </c>
      <c r="D189" s="268">
        <f t="shared" si="19"/>
        <v>0</v>
      </c>
      <c r="E189" s="267"/>
      <c r="F189" s="267"/>
      <c r="G189" s="267"/>
      <c r="H189" s="267"/>
      <c r="I189" s="287"/>
      <c r="J189" s="288">
        <f t="shared" si="28"/>
        <v>0</v>
      </c>
      <c r="K189" s="276" t="s">
        <v>1087</v>
      </c>
      <c r="L189" s="33">
        <v>1</v>
      </c>
      <c r="M189" s="157" t="s">
        <v>1436</v>
      </c>
      <c r="N189" s="157"/>
      <c r="O189" s="157" t="s">
        <v>477</v>
      </c>
      <c r="P189" s="164" t="s">
        <v>1091</v>
      </c>
    </row>
    <row r="190" s="92" customFormat="1" ht="20.1" customHeight="1" spans="1:16">
      <c r="A190" s="157" t="s">
        <v>1437</v>
      </c>
      <c r="B190" s="266" t="s">
        <v>1093</v>
      </c>
      <c r="C190" s="267">
        <v>0</v>
      </c>
      <c r="D190" s="268">
        <f t="shared" si="19"/>
        <v>0</v>
      </c>
      <c r="E190" s="267"/>
      <c r="F190" s="267"/>
      <c r="G190" s="267"/>
      <c r="H190" s="267"/>
      <c r="I190" s="287"/>
      <c r="J190" s="288">
        <f t="shared" si="28"/>
        <v>0</v>
      </c>
      <c r="K190" s="276" t="s">
        <v>1087</v>
      </c>
      <c r="L190" s="33">
        <v>1</v>
      </c>
      <c r="M190" s="157" t="s">
        <v>1437</v>
      </c>
      <c r="N190" s="157"/>
      <c r="O190" s="157" t="s">
        <v>477</v>
      </c>
      <c r="P190" s="164" t="s">
        <v>1094</v>
      </c>
    </row>
    <row r="191" s="92" customFormat="1" ht="20.1" customHeight="1" spans="1:16">
      <c r="A191" s="157" t="s">
        <v>1438</v>
      </c>
      <c r="B191" s="266" t="s">
        <v>1439</v>
      </c>
      <c r="C191" s="267">
        <v>0</v>
      </c>
      <c r="D191" s="268">
        <f t="shared" si="19"/>
        <v>5</v>
      </c>
      <c r="E191" s="267"/>
      <c r="F191" s="267"/>
      <c r="G191" s="267">
        <v>5</v>
      </c>
      <c r="H191" s="267"/>
      <c r="I191" s="287"/>
      <c r="J191" s="288">
        <f t="shared" si="28"/>
        <v>100</v>
      </c>
      <c r="K191" s="276" t="s">
        <v>1087</v>
      </c>
      <c r="L191" s="33">
        <v>1</v>
      </c>
      <c r="M191" s="157" t="s">
        <v>1438</v>
      </c>
      <c r="N191" s="157"/>
      <c r="O191" s="157" t="s">
        <v>477</v>
      </c>
      <c r="P191" s="164" t="s">
        <v>1440</v>
      </c>
    </row>
    <row r="192" s="92" customFormat="1" ht="20.1" customHeight="1" spans="1:16">
      <c r="A192" s="157" t="s">
        <v>1441</v>
      </c>
      <c r="B192" s="266" t="s">
        <v>1442</v>
      </c>
      <c r="C192" s="267">
        <v>0</v>
      </c>
      <c r="D192" s="268">
        <f t="shared" si="19"/>
        <v>1</v>
      </c>
      <c r="E192" s="267"/>
      <c r="F192" s="267"/>
      <c r="G192" s="267">
        <v>1</v>
      </c>
      <c r="H192" s="267"/>
      <c r="I192" s="287"/>
      <c r="J192" s="288">
        <f t="shared" si="28"/>
        <v>100</v>
      </c>
      <c r="K192" s="276" t="s">
        <v>1087</v>
      </c>
      <c r="L192" s="33">
        <v>1</v>
      </c>
      <c r="M192" s="157" t="s">
        <v>1441</v>
      </c>
      <c r="N192" s="157"/>
      <c r="O192" s="157" t="s">
        <v>477</v>
      </c>
      <c r="P192" s="164" t="s">
        <v>1443</v>
      </c>
    </row>
    <row r="193" s="92" customFormat="1" ht="20.1" customHeight="1" spans="1:16">
      <c r="A193" s="157" t="s">
        <v>1444</v>
      </c>
      <c r="B193" s="266" t="s">
        <v>1114</v>
      </c>
      <c r="C193" s="267">
        <v>0</v>
      </c>
      <c r="D193" s="268">
        <f t="shared" si="19"/>
        <v>0</v>
      </c>
      <c r="E193" s="267"/>
      <c r="F193" s="267"/>
      <c r="G193" s="267"/>
      <c r="H193" s="267"/>
      <c r="I193" s="287"/>
      <c r="J193" s="288">
        <f t="shared" si="28"/>
        <v>0</v>
      </c>
      <c r="K193" s="276" t="s">
        <v>1087</v>
      </c>
      <c r="L193" s="33">
        <v>1</v>
      </c>
      <c r="M193" s="157" t="s">
        <v>1444</v>
      </c>
      <c r="N193" s="157"/>
      <c r="O193" s="157" t="s">
        <v>477</v>
      </c>
      <c r="P193" s="164" t="s">
        <v>1115</v>
      </c>
    </row>
    <row r="194" s="92" customFormat="1" ht="20.1" customHeight="1" spans="1:16">
      <c r="A194" s="157" t="s">
        <v>1445</v>
      </c>
      <c r="B194" s="269" t="s">
        <v>1446</v>
      </c>
      <c r="C194" s="267"/>
      <c r="D194" s="268">
        <f t="shared" si="19"/>
        <v>3</v>
      </c>
      <c r="E194" s="267"/>
      <c r="F194" s="267"/>
      <c r="G194" s="267"/>
      <c r="H194" s="267"/>
      <c r="I194" s="287">
        <v>3</v>
      </c>
      <c r="J194" s="288">
        <f t="shared" si="28"/>
        <v>100</v>
      </c>
      <c r="K194" s="276" t="s">
        <v>1087</v>
      </c>
      <c r="L194" s="33">
        <v>1</v>
      </c>
      <c r="M194" s="157" t="s">
        <v>1445</v>
      </c>
      <c r="N194" s="157"/>
      <c r="O194" s="157" t="s">
        <v>477</v>
      </c>
      <c r="P194" s="163" t="s">
        <v>1447</v>
      </c>
    </row>
    <row r="195" s="93" customFormat="1" ht="20.1" customHeight="1" spans="1:16">
      <c r="A195" s="263" t="s">
        <v>478</v>
      </c>
      <c r="B195" s="264" t="s">
        <v>244</v>
      </c>
      <c r="C195" s="265">
        <v>0</v>
      </c>
      <c r="D195" s="265">
        <f t="shared" si="19"/>
        <v>0</v>
      </c>
      <c r="E195" s="265">
        <f t="shared" ref="E195:H195" si="30">SUM(E196:E200)</f>
        <v>0</v>
      </c>
      <c r="F195" s="265">
        <f t="shared" si="30"/>
        <v>0</v>
      </c>
      <c r="G195" s="265">
        <f>VLOOKUP(A195,[1]√表四、2024年公共财政支出变动表!$A$7:$R$214,18,FALSE)</f>
        <v>0</v>
      </c>
      <c r="H195" s="265">
        <f t="shared" si="30"/>
        <v>0</v>
      </c>
      <c r="I195" s="265"/>
      <c r="J195" s="283">
        <f t="shared" si="28"/>
        <v>0</v>
      </c>
      <c r="K195" s="284" t="s">
        <v>1082</v>
      </c>
      <c r="L195" s="285"/>
      <c r="M195" s="263" t="s">
        <v>478</v>
      </c>
      <c r="N195" s="263" t="s">
        <v>455</v>
      </c>
      <c r="O195" s="263" t="s">
        <v>478</v>
      </c>
      <c r="P195" s="286" t="s">
        <v>1448</v>
      </c>
    </row>
    <row r="196" s="92" customFormat="1" ht="20.1" customHeight="1" spans="1:16">
      <c r="A196" s="157" t="s">
        <v>1449</v>
      </c>
      <c r="B196" s="269" t="s">
        <v>1086</v>
      </c>
      <c r="C196" s="267">
        <v>0</v>
      </c>
      <c r="D196" s="268">
        <f t="shared" ref="D196:D240" si="31">SUM(E196:I196)</f>
        <v>0</v>
      </c>
      <c r="E196" s="267"/>
      <c r="F196" s="267"/>
      <c r="G196" s="267"/>
      <c r="H196" s="267"/>
      <c r="I196" s="287"/>
      <c r="J196" s="288">
        <f t="shared" si="28"/>
        <v>0</v>
      </c>
      <c r="K196" s="276" t="s">
        <v>1087</v>
      </c>
      <c r="L196" s="33">
        <v>1</v>
      </c>
      <c r="M196" s="157" t="s">
        <v>1449</v>
      </c>
      <c r="N196" s="157"/>
      <c r="O196" s="157" t="s">
        <v>478</v>
      </c>
      <c r="P196" s="164" t="s">
        <v>1088</v>
      </c>
    </row>
    <row r="197" s="92" customFormat="1" ht="20.1" customHeight="1" spans="1:16">
      <c r="A197" s="157" t="s">
        <v>1450</v>
      </c>
      <c r="B197" s="36" t="s">
        <v>1090</v>
      </c>
      <c r="C197" s="267">
        <v>0</v>
      </c>
      <c r="D197" s="268">
        <f t="shared" si="31"/>
        <v>0</v>
      </c>
      <c r="E197" s="267"/>
      <c r="F197" s="267"/>
      <c r="G197" s="267"/>
      <c r="H197" s="267"/>
      <c r="I197" s="287"/>
      <c r="J197" s="288">
        <f t="shared" si="28"/>
        <v>0</v>
      </c>
      <c r="K197" s="276" t="s">
        <v>1087</v>
      </c>
      <c r="L197" s="33">
        <v>1</v>
      </c>
      <c r="M197" s="157" t="s">
        <v>1450</v>
      </c>
      <c r="N197" s="157"/>
      <c r="O197" s="157" t="s">
        <v>478</v>
      </c>
      <c r="P197" s="164" t="s">
        <v>1091</v>
      </c>
    </row>
    <row r="198" s="92" customFormat="1" ht="20.1" customHeight="1" spans="1:16">
      <c r="A198" s="157" t="s">
        <v>1451</v>
      </c>
      <c r="B198" s="266" t="s">
        <v>1093</v>
      </c>
      <c r="C198" s="267">
        <v>0</v>
      </c>
      <c r="D198" s="268">
        <f t="shared" si="31"/>
        <v>0</v>
      </c>
      <c r="E198" s="267"/>
      <c r="F198" s="267"/>
      <c r="G198" s="267"/>
      <c r="H198" s="267"/>
      <c r="I198" s="287"/>
      <c r="J198" s="288">
        <f t="shared" si="28"/>
        <v>0</v>
      </c>
      <c r="K198" s="276" t="s">
        <v>1087</v>
      </c>
      <c r="L198" s="33">
        <v>1</v>
      </c>
      <c r="M198" s="157" t="s">
        <v>1451</v>
      </c>
      <c r="N198" s="157"/>
      <c r="O198" s="157" t="s">
        <v>478</v>
      </c>
      <c r="P198" s="164" t="s">
        <v>1094</v>
      </c>
    </row>
    <row r="199" s="92" customFormat="1" ht="20.1" customHeight="1" spans="1:16">
      <c r="A199" s="157" t="s">
        <v>1452</v>
      </c>
      <c r="B199" s="266" t="s">
        <v>1114</v>
      </c>
      <c r="C199" s="267">
        <v>0</v>
      </c>
      <c r="D199" s="268">
        <f t="shared" si="31"/>
        <v>0</v>
      </c>
      <c r="E199" s="267"/>
      <c r="F199" s="267"/>
      <c r="G199" s="267"/>
      <c r="H199" s="267"/>
      <c r="I199" s="287"/>
      <c r="J199" s="288">
        <f t="shared" si="28"/>
        <v>0</v>
      </c>
      <c r="K199" s="276" t="s">
        <v>1087</v>
      </c>
      <c r="L199" s="33">
        <v>1</v>
      </c>
      <c r="M199" s="157" t="s">
        <v>1452</v>
      </c>
      <c r="N199" s="157"/>
      <c r="O199" s="157" t="s">
        <v>478</v>
      </c>
      <c r="P199" s="164" t="s">
        <v>1115</v>
      </c>
    </row>
    <row r="200" s="92" customFormat="1" ht="20.1" customHeight="1" spans="1:16">
      <c r="A200" s="157" t="s">
        <v>1453</v>
      </c>
      <c r="B200" s="266" t="s">
        <v>1454</v>
      </c>
      <c r="C200" s="267">
        <v>0</v>
      </c>
      <c r="D200" s="268">
        <f t="shared" si="31"/>
        <v>0</v>
      </c>
      <c r="E200" s="267"/>
      <c r="F200" s="267"/>
      <c r="G200" s="267"/>
      <c r="H200" s="267"/>
      <c r="I200" s="287"/>
      <c r="J200" s="288">
        <f t="shared" si="28"/>
        <v>0</v>
      </c>
      <c r="K200" s="276" t="s">
        <v>1087</v>
      </c>
      <c r="L200" s="33">
        <v>1</v>
      </c>
      <c r="M200" s="157" t="s">
        <v>1453</v>
      </c>
      <c r="N200" s="157"/>
      <c r="O200" s="157" t="s">
        <v>478</v>
      </c>
      <c r="P200" s="163" t="s">
        <v>1455</v>
      </c>
    </row>
    <row r="201" s="93" customFormat="1" ht="20.1" customHeight="1" spans="1:16">
      <c r="A201" s="263" t="s">
        <v>479</v>
      </c>
      <c r="B201" s="264" t="s">
        <v>245</v>
      </c>
      <c r="C201" s="265">
        <f t="shared" ref="C201:I201" si="32">SUM(C202:C206)</f>
        <v>427</v>
      </c>
      <c r="D201" s="265">
        <f t="shared" si="31"/>
        <v>447</v>
      </c>
      <c r="E201" s="265">
        <f t="shared" si="32"/>
        <v>0</v>
      </c>
      <c r="F201" s="265">
        <f t="shared" si="32"/>
        <v>0</v>
      </c>
      <c r="G201" s="265">
        <f t="shared" si="32"/>
        <v>0</v>
      </c>
      <c r="H201" s="265">
        <f t="shared" si="32"/>
        <v>0</v>
      </c>
      <c r="I201" s="265">
        <f t="shared" si="32"/>
        <v>447</v>
      </c>
      <c r="J201" s="283">
        <f t="shared" si="28"/>
        <v>104.68</v>
      </c>
      <c r="K201" s="284" t="s">
        <v>1082</v>
      </c>
      <c r="L201" s="285"/>
      <c r="M201" s="263" t="s">
        <v>479</v>
      </c>
      <c r="N201" s="263" t="s">
        <v>455</v>
      </c>
      <c r="O201" s="263" t="s">
        <v>479</v>
      </c>
      <c r="P201" s="286" t="s">
        <v>1456</v>
      </c>
    </row>
    <row r="202" s="92" customFormat="1" ht="20.1" customHeight="1" spans="1:16">
      <c r="A202" s="157" t="s">
        <v>1457</v>
      </c>
      <c r="B202" s="269" t="s">
        <v>1086</v>
      </c>
      <c r="C202" s="267">
        <v>426</v>
      </c>
      <c r="D202" s="268">
        <f t="shared" si="31"/>
        <v>427</v>
      </c>
      <c r="E202" s="267"/>
      <c r="F202" s="267"/>
      <c r="G202" s="267"/>
      <c r="H202" s="267"/>
      <c r="I202" s="287">
        <v>427</v>
      </c>
      <c r="J202" s="288">
        <f t="shared" si="28"/>
        <v>100.23</v>
      </c>
      <c r="K202" s="276" t="s">
        <v>1087</v>
      </c>
      <c r="L202" s="33">
        <v>1</v>
      </c>
      <c r="M202" s="157" t="s">
        <v>1457</v>
      </c>
      <c r="N202" s="157"/>
      <c r="O202" s="157" t="s">
        <v>479</v>
      </c>
      <c r="P202" s="164" t="s">
        <v>1088</v>
      </c>
    </row>
    <row r="203" s="92" customFormat="1" ht="20.1" customHeight="1" spans="1:16">
      <c r="A203" s="157" t="s">
        <v>1458</v>
      </c>
      <c r="B203" s="269" t="s">
        <v>1090</v>
      </c>
      <c r="C203" s="267"/>
      <c r="D203" s="268">
        <f t="shared" si="31"/>
        <v>0</v>
      </c>
      <c r="E203" s="267"/>
      <c r="F203" s="267"/>
      <c r="G203" s="267"/>
      <c r="H203" s="267"/>
      <c r="I203" s="287"/>
      <c r="J203" s="288">
        <f t="shared" si="28"/>
        <v>0</v>
      </c>
      <c r="K203" s="276" t="s">
        <v>1087</v>
      </c>
      <c r="L203" s="33">
        <v>1</v>
      </c>
      <c r="M203" s="157" t="s">
        <v>1458</v>
      </c>
      <c r="N203" s="157"/>
      <c r="O203" s="157" t="s">
        <v>479</v>
      </c>
      <c r="P203" s="164" t="s">
        <v>1091</v>
      </c>
    </row>
    <row r="204" s="92" customFormat="1" ht="20.1" customHeight="1" spans="1:16">
      <c r="A204" s="157" t="s">
        <v>1459</v>
      </c>
      <c r="B204" s="266" t="s">
        <v>1093</v>
      </c>
      <c r="C204" s="267"/>
      <c r="D204" s="268">
        <f t="shared" si="31"/>
        <v>0</v>
      </c>
      <c r="E204" s="267"/>
      <c r="F204" s="267"/>
      <c r="G204" s="267"/>
      <c r="H204" s="267"/>
      <c r="I204" s="287"/>
      <c r="J204" s="288">
        <f t="shared" si="28"/>
        <v>0</v>
      </c>
      <c r="K204" s="276" t="s">
        <v>1087</v>
      </c>
      <c r="L204" s="33">
        <v>1</v>
      </c>
      <c r="M204" s="157" t="s">
        <v>1459</v>
      </c>
      <c r="N204" s="157"/>
      <c r="O204" s="157" t="s">
        <v>479</v>
      </c>
      <c r="P204" s="164" t="s">
        <v>1094</v>
      </c>
    </row>
    <row r="205" s="92" customFormat="1" ht="20.1" customHeight="1" spans="1:16">
      <c r="A205" s="157" t="s">
        <v>1460</v>
      </c>
      <c r="B205" s="266" t="s">
        <v>1114</v>
      </c>
      <c r="C205" s="267"/>
      <c r="D205" s="268">
        <f t="shared" si="31"/>
        <v>0</v>
      </c>
      <c r="E205" s="267"/>
      <c r="F205" s="267"/>
      <c r="G205" s="267"/>
      <c r="H205" s="267"/>
      <c r="I205" s="287"/>
      <c r="J205" s="288">
        <f t="shared" si="28"/>
        <v>0</v>
      </c>
      <c r="K205" s="276" t="s">
        <v>1087</v>
      </c>
      <c r="L205" s="33">
        <v>1</v>
      </c>
      <c r="M205" s="157" t="s">
        <v>1460</v>
      </c>
      <c r="N205" s="157"/>
      <c r="O205" s="157" t="s">
        <v>479</v>
      </c>
      <c r="P205" s="164" t="s">
        <v>1115</v>
      </c>
    </row>
    <row r="206" s="92" customFormat="1" ht="20.1" customHeight="1" spans="1:16">
      <c r="A206" s="157" t="s">
        <v>1461</v>
      </c>
      <c r="B206" s="266" t="s">
        <v>1462</v>
      </c>
      <c r="C206" s="267">
        <v>1</v>
      </c>
      <c r="D206" s="268">
        <f t="shared" si="31"/>
        <v>20</v>
      </c>
      <c r="E206" s="267"/>
      <c r="F206" s="267"/>
      <c r="G206" s="267"/>
      <c r="H206" s="267"/>
      <c r="I206" s="287">
        <v>20</v>
      </c>
      <c r="J206" s="288">
        <f t="shared" si="28"/>
        <v>2000</v>
      </c>
      <c r="K206" s="276" t="s">
        <v>1087</v>
      </c>
      <c r="L206" s="33">
        <v>1</v>
      </c>
      <c r="M206" s="157" t="s">
        <v>1461</v>
      </c>
      <c r="N206" s="157"/>
      <c r="O206" s="157" t="s">
        <v>479</v>
      </c>
      <c r="P206" s="164" t="s">
        <v>1456</v>
      </c>
    </row>
    <row r="207" s="93" customFormat="1" ht="20.1" customHeight="1" spans="1:16">
      <c r="A207" s="263" t="s">
        <v>480</v>
      </c>
      <c r="B207" s="264" t="s">
        <v>246</v>
      </c>
      <c r="C207" s="265">
        <f t="shared" ref="C207:I207" si="33">SUM(C208:C213)</f>
        <v>0</v>
      </c>
      <c r="D207" s="265">
        <f t="shared" si="31"/>
        <v>0</v>
      </c>
      <c r="E207" s="265">
        <f t="shared" si="33"/>
        <v>0</v>
      </c>
      <c r="F207" s="265">
        <f t="shared" si="33"/>
        <v>0</v>
      </c>
      <c r="G207" s="265">
        <f t="shared" si="33"/>
        <v>0</v>
      </c>
      <c r="H207" s="265">
        <f t="shared" si="33"/>
        <v>0</v>
      </c>
      <c r="I207" s="265">
        <f t="shared" si="33"/>
        <v>0</v>
      </c>
      <c r="J207" s="283">
        <f t="shared" si="28"/>
        <v>0</v>
      </c>
      <c r="K207" s="284" t="s">
        <v>1082</v>
      </c>
      <c r="L207" s="285"/>
      <c r="M207" s="263" t="s">
        <v>480</v>
      </c>
      <c r="N207" s="263" t="s">
        <v>455</v>
      </c>
      <c r="O207" s="263" t="s">
        <v>480</v>
      </c>
      <c r="P207" s="286" t="s">
        <v>1463</v>
      </c>
    </row>
    <row r="208" s="92" customFormat="1" ht="20.1" customHeight="1" spans="1:16">
      <c r="A208" s="157" t="s">
        <v>1464</v>
      </c>
      <c r="B208" s="269" t="s">
        <v>1086</v>
      </c>
      <c r="C208" s="267">
        <v>0</v>
      </c>
      <c r="D208" s="268">
        <f t="shared" si="31"/>
        <v>0</v>
      </c>
      <c r="E208" s="267"/>
      <c r="F208" s="267"/>
      <c r="G208" s="267"/>
      <c r="H208" s="267"/>
      <c r="I208" s="287"/>
      <c r="J208" s="288">
        <f t="shared" si="28"/>
        <v>0</v>
      </c>
      <c r="K208" s="276" t="s">
        <v>1087</v>
      </c>
      <c r="L208" s="33">
        <v>1</v>
      </c>
      <c r="M208" s="157" t="s">
        <v>1464</v>
      </c>
      <c r="N208" s="157"/>
      <c r="O208" s="157" t="s">
        <v>480</v>
      </c>
      <c r="P208" s="164" t="s">
        <v>1088</v>
      </c>
    </row>
    <row r="209" s="92" customFormat="1" ht="20.1" customHeight="1" spans="1:16">
      <c r="A209" s="157" t="s">
        <v>1465</v>
      </c>
      <c r="B209" s="269" t="s">
        <v>1090</v>
      </c>
      <c r="C209" s="267">
        <v>0</v>
      </c>
      <c r="D209" s="268">
        <f t="shared" si="31"/>
        <v>0</v>
      </c>
      <c r="E209" s="267"/>
      <c r="F209" s="267"/>
      <c r="G209" s="267"/>
      <c r="H209" s="267"/>
      <c r="I209" s="287"/>
      <c r="J209" s="288">
        <f t="shared" si="28"/>
        <v>0</v>
      </c>
      <c r="K209" s="276" t="s">
        <v>1087</v>
      </c>
      <c r="L209" s="33">
        <v>1</v>
      </c>
      <c r="M209" s="157" t="s">
        <v>1465</v>
      </c>
      <c r="N209" s="157"/>
      <c r="O209" s="157" t="s">
        <v>480</v>
      </c>
      <c r="P209" s="164" t="s">
        <v>1091</v>
      </c>
    </row>
    <row r="210" s="92" customFormat="1" ht="20.1" customHeight="1" spans="1:16">
      <c r="A210" s="157" t="s">
        <v>1466</v>
      </c>
      <c r="B210" s="266" t="s">
        <v>1093</v>
      </c>
      <c r="C210" s="267">
        <v>0</v>
      </c>
      <c r="D210" s="268">
        <f t="shared" si="31"/>
        <v>0</v>
      </c>
      <c r="E210" s="267"/>
      <c r="F210" s="267"/>
      <c r="G210" s="267"/>
      <c r="H210" s="267"/>
      <c r="I210" s="287"/>
      <c r="J210" s="288">
        <f t="shared" si="28"/>
        <v>0</v>
      </c>
      <c r="K210" s="276" t="s">
        <v>1087</v>
      </c>
      <c r="L210" s="33">
        <v>1</v>
      </c>
      <c r="M210" s="157" t="s">
        <v>1466</v>
      </c>
      <c r="N210" s="157"/>
      <c r="O210" s="157" t="s">
        <v>480</v>
      </c>
      <c r="P210" s="164" t="s">
        <v>1094</v>
      </c>
    </row>
    <row r="211" s="92" customFormat="1" ht="20.1" customHeight="1" spans="1:16">
      <c r="A211" s="157" t="s">
        <v>1467</v>
      </c>
      <c r="B211" s="266" t="s">
        <v>1468</v>
      </c>
      <c r="C211" s="267"/>
      <c r="D211" s="268">
        <f t="shared" si="31"/>
        <v>0</v>
      </c>
      <c r="E211" s="267"/>
      <c r="F211" s="267"/>
      <c r="G211" s="267"/>
      <c r="H211" s="267"/>
      <c r="I211" s="287"/>
      <c r="J211" s="288"/>
      <c r="K211" s="276" t="s">
        <v>1087</v>
      </c>
      <c r="L211" s="33">
        <v>1</v>
      </c>
      <c r="M211" s="157" t="s">
        <v>1469</v>
      </c>
      <c r="N211" s="157"/>
      <c r="O211" s="157" t="s">
        <v>480</v>
      </c>
      <c r="P211" s="164" t="s">
        <v>1470</v>
      </c>
    </row>
    <row r="212" s="92" customFormat="1" ht="20.1" customHeight="1" spans="1:16">
      <c r="A212" s="157" t="s">
        <v>1471</v>
      </c>
      <c r="B212" s="266" t="s">
        <v>1114</v>
      </c>
      <c r="C212" s="267">
        <v>0</v>
      </c>
      <c r="D212" s="268">
        <f t="shared" si="31"/>
        <v>0</v>
      </c>
      <c r="E212" s="267"/>
      <c r="F212" s="267"/>
      <c r="G212" s="267"/>
      <c r="H212" s="267"/>
      <c r="I212" s="287"/>
      <c r="J212" s="288">
        <f t="shared" ref="J212:J224" si="34">ROUND(IF(C212=0,IF(D212=0,0,1),IF(D212=0,-1,D212/C212)),4)*100</f>
        <v>0</v>
      </c>
      <c r="K212" s="276" t="s">
        <v>1087</v>
      </c>
      <c r="L212" s="33">
        <v>1</v>
      </c>
      <c r="M212" s="157" t="s">
        <v>1471</v>
      </c>
      <c r="N212" s="157"/>
      <c r="O212" s="157" t="s">
        <v>480</v>
      </c>
      <c r="P212" s="164" t="s">
        <v>1115</v>
      </c>
    </row>
    <row r="213" s="92" customFormat="1" ht="20.1" customHeight="1" spans="1:16">
      <c r="A213" s="157" t="s">
        <v>1472</v>
      </c>
      <c r="B213" s="266" t="s">
        <v>1473</v>
      </c>
      <c r="C213" s="267"/>
      <c r="D213" s="268">
        <f t="shared" si="31"/>
        <v>0</v>
      </c>
      <c r="E213" s="267"/>
      <c r="F213" s="267"/>
      <c r="G213" s="267"/>
      <c r="H213" s="267"/>
      <c r="I213" s="287"/>
      <c r="J213" s="288">
        <f t="shared" si="34"/>
        <v>0</v>
      </c>
      <c r="K213" s="276" t="s">
        <v>1087</v>
      </c>
      <c r="L213" s="33">
        <v>1</v>
      </c>
      <c r="M213" s="157" t="s">
        <v>1472</v>
      </c>
      <c r="N213" s="157"/>
      <c r="O213" s="157" t="s">
        <v>480</v>
      </c>
      <c r="P213" s="164" t="s">
        <v>1474</v>
      </c>
    </row>
    <row r="214" s="93" customFormat="1" ht="20.1" customHeight="1" spans="1:16">
      <c r="A214" s="263" t="s">
        <v>481</v>
      </c>
      <c r="B214" s="264" t="s">
        <v>247</v>
      </c>
      <c r="C214" s="265">
        <f t="shared" ref="C214:I214" si="35">SUM(C215:C228)</f>
        <v>1544</v>
      </c>
      <c r="D214" s="265">
        <f t="shared" si="31"/>
        <v>1414</v>
      </c>
      <c r="E214" s="265">
        <f t="shared" si="35"/>
        <v>44</v>
      </c>
      <c r="F214" s="265">
        <f t="shared" si="35"/>
        <v>0</v>
      </c>
      <c r="G214" s="265">
        <f t="shared" si="35"/>
        <v>55</v>
      </c>
      <c r="H214" s="265">
        <f t="shared" si="35"/>
        <v>0</v>
      </c>
      <c r="I214" s="265">
        <f t="shared" si="35"/>
        <v>1315</v>
      </c>
      <c r="J214" s="283">
        <f t="shared" si="34"/>
        <v>91.58</v>
      </c>
      <c r="K214" s="284" t="s">
        <v>1082</v>
      </c>
      <c r="L214" s="285"/>
      <c r="M214" s="263" t="s">
        <v>481</v>
      </c>
      <c r="N214" s="263" t="s">
        <v>455</v>
      </c>
      <c r="O214" s="263" t="s">
        <v>481</v>
      </c>
      <c r="P214" s="286" t="s">
        <v>1475</v>
      </c>
    </row>
    <row r="215" s="92" customFormat="1" ht="20.1" customHeight="1" spans="1:16">
      <c r="A215" s="157" t="s">
        <v>1476</v>
      </c>
      <c r="B215" s="269" t="s">
        <v>1086</v>
      </c>
      <c r="C215" s="267">
        <v>1403</v>
      </c>
      <c r="D215" s="268">
        <f t="shared" si="31"/>
        <v>1241</v>
      </c>
      <c r="E215" s="267"/>
      <c r="F215" s="267"/>
      <c r="G215" s="267"/>
      <c r="H215" s="267"/>
      <c r="I215" s="287">
        <v>1241</v>
      </c>
      <c r="J215" s="288">
        <f t="shared" si="34"/>
        <v>88.45</v>
      </c>
      <c r="K215" s="276" t="s">
        <v>1087</v>
      </c>
      <c r="L215" s="33">
        <v>1</v>
      </c>
      <c r="M215" s="157" t="s">
        <v>1476</v>
      </c>
      <c r="N215" s="157"/>
      <c r="O215" s="157" t="s">
        <v>481</v>
      </c>
      <c r="P215" s="164" t="s">
        <v>1088</v>
      </c>
    </row>
    <row r="216" s="92" customFormat="1" ht="20.1" customHeight="1" spans="1:16">
      <c r="A216" s="157" t="s">
        <v>1477</v>
      </c>
      <c r="B216" s="269" t="s">
        <v>1090</v>
      </c>
      <c r="C216" s="267"/>
      <c r="D216" s="268">
        <f t="shared" si="31"/>
        <v>0</v>
      </c>
      <c r="E216" s="267"/>
      <c r="F216" s="267"/>
      <c r="G216" s="267"/>
      <c r="H216" s="267"/>
      <c r="I216" s="287"/>
      <c r="J216" s="288">
        <f t="shared" si="34"/>
        <v>0</v>
      </c>
      <c r="K216" s="276" t="s">
        <v>1087</v>
      </c>
      <c r="L216" s="33">
        <v>1</v>
      </c>
      <c r="M216" s="157" t="s">
        <v>1477</v>
      </c>
      <c r="N216" s="157"/>
      <c r="O216" s="157" t="s">
        <v>481</v>
      </c>
      <c r="P216" s="164" t="s">
        <v>1091</v>
      </c>
    </row>
    <row r="217" s="92" customFormat="1" ht="20.1" customHeight="1" spans="1:16">
      <c r="A217" s="157" t="s">
        <v>1478</v>
      </c>
      <c r="B217" s="266" t="s">
        <v>1093</v>
      </c>
      <c r="C217" s="267"/>
      <c r="D217" s="268">
        <f t="shared" si="31"/>
        <v>0</v>
      </c>
      <c r="E217" s="267"/>
      <c r="F217" s="267"/>
      <c r="G217" s="267"/>
      <c r="H217" s="267"/>
      <c r="I217" s="287"/>
      <c r="J217" s="288">
        <f t="shared" si="34"/>
        <v>0</v>
      </c>
      <c r="K217" s="276" t="s">
        <v>1087</v>
      </c>
      <c r="L217" s="33">
        <v>1</v>
      </c>
      <c r="M217" s="157" t="s">
        <v>1478</v>
      </c>
      <c r="N217" s="157"/>
      <c r="O217" s="157" t="s">
        <v>481</v>
      </c>
      <c r="P217" s="164" t="s">
        <v>1094</v>
      </c>
    </row>
    <row r="218" s="92" customFormat="1" ht="20.1" customHeight="1" spans="1:16">
      <c r="A218" s="157" t="s">
        <v>1479</v>
      </c>
      <c r="B218" s="266" t="s">
        <v>1480</v>
      </c>
      <c r="C218" s="267">
        <v>1</v>
      </c>
      <c r="D218" s="268">
        <f t="shared" si="31"/>
        <v>1</v>
      </c>
      <c r="E218" s="267"/>
      <c r="F218" s="267"/>
      <c r="G218" s="267"/>
      <c r="H218" s="267"/>
      <c r="I218" s="287">
        <v>1</v>
      </c>
      <c r="J218" s="288">
        <f t="shared" si="34"/>
        <v>100</v>
      </c>
      <c r="K218" s="276" t="s">
        <v>1087</v>
      </c>
      <c r="L218" s="33">
        <v>1</v>
      </c>
      <c r="M218" s="157" t="s">
        <v>1479</v>
      </c>
      <c r="N218" s="157"/>
      <c r="O218" s="157" t="s">
        <v>481</v>
      </c>
      <c r="P218" s="289" t="s">
        <v>1481</v>
      </c>
    </row>
    <row r="219" s="92" customFormat="1" ht="20.1" customHeight="1" spans="1:16">
      <c r="A219" s="157" t="s">
        <v>1482</v>
      </c>
      <c r="B219" s="266" t="s">
        <v>1483</v>
      </c>
      <c r="C219" s="267"/>
      <c r="D219" s="268">
        <f t="shared" si="31"/>
        <v>0</v>
      </c>
      <c r="E219" s="267"/>
      <c r="F219" s="267"/>
      <c r="G219" s="267"/>
      <c r="H219" s="267"/>
      <c r="I219" s="287"/>
      <c r="J219" s="288">
        <f t="shared" si="34"/>
        <v>0</v>
      </c>
      <c r="K219" s="276" t="s">
        <v>1087</v>
      </c>
      <c r="L219" s="33">
        <v>1</v>
      </c>
      <c r="M219" s="157" t="s">
        <v>1482</v>
      </c>
      <c r="N219" s="157"/>
      <c r="O219" s="157" t="s">
        <v>481</v>
      </c>
      <c r="P219" s="289" t="s">
        <v>1484</v>
      </c>
    </row>
    <row r="220" s="92" customFormat="1" ht="20.1" customHeight="1" spans="1:16">
      <c r="A220" s="157" t="s">
        <v>1485</v>
      </c>
      <c r="B220" s="266" t="s">
        <v>1217</v>
      </c>
      <c r="C220" s="267"/>
      <c r="D220" s="268">
        <f t="shared" si="31"/>
        <v>0</v>
      </c>
      <c r="E220" s="267"/>
      <c r="F220" s="267"/>
      <c r="G220" s="267"/>
      <c r="H220" s="267"/>
      <c r="I220" s="287"/>
      <c r="J220" s="288">
        <f t="shared" si="34"/>
        <v>0</v>
      </c>
      <c r="K220" s="276" t="s">
        <v>1087</v>
      </c>
      <c r="L220" s="33">
        <v>1</v>
      </c>
      <c r="M220" s="157" t="s">
        <v>1485</v>
      </c>
      <c r="N220" s="157"/>
      <c r="O220" s="157" t="s">
        <v>481</v>
      </c>
      <c r="P220" s="289" t="s">
        <v>1218</v>
      </c>
    </row>
    <row r="221" s="92" customFormat="1" ht="20.1" customHeight="1" spans="1:16">
      <c r="A221" s="157" t="s">
        <v>1486</v>
      </c>
      <c r="B221" s="266" t="s">
        <v>1487</v>
      </c>
      <c r="C221" s="267"/>
      <c r="D221" s="268">
        <f t="shared" si="31"/>
        <v>18</v>
      </c>
      <c r="E221" s="267">
        <v>10</v>
      </c>
      <c r="F221" s="267"/>
      <c r="G221" s="267">
        <v>8</v>
      </c>
      <c r="H221" s="267"/>
      <c r="I221" s="287"/>
      <c r="J221" s="288">
        <f t="shared" si="34"/>
        <v>100</v>
      </c>
      <c r="K221" s="276" t="s">
        <v>1087</v>
      </c>
      <c r="L221" s="33">
        <v>1</v>
      </c>
      <c r="M221" s="157" t="s">
        <v>1486</v>
      </c>
      <c r="N221" s="157"/>
      <c r="O221" s="157" t="s">
        <v>481</v>
      </c>
      <c r="P221" s="289" t="s">
        <v>1488</v>
      </c>
    </row>
    <row r="222" s="92" customFormat="1" ht="20.1" customHeight="1" spans="1:16">
      <c r="A222" s="157" t="s">
        <v>1489</v>
      </c>
      <c r="B222" s="266" t="s">
        <v>1490</v>
      </c>
      <c r="C222" s="267"/>
      <c r="D222" s="268">
        <f t="shared" si="31"/>
        <v>0</v>
      </c>
      <c r="E222" s="267"/>
      <c r="F222" s="267"/>
      <c r="G222" s="267"/>
      <c r="H222" s="267"/>
      <c r="I222" s="287"/>
      <c r="J222" s="288">
        <f t="shared" si="34"/>
        <v>0</v>
      </c>
      <c r="K222" s="276" t="s">
        <v>1087</v>
      </c>
      <c r="L222" s="33">
        <v>1</v>
      </c>
      <c r="M222" s="157" t="s">
        <v>1489</v>
      </c>
      <c r="N222" s="157"/>
      <c r="O222" s="157" t="s">
        <v>481</v>
      </c>
      <c r="P222" s="289" t="s">
        <v>1491</v>
      </c>
    </row>
    <row r="223" s="92" customFormat="1" ht="20.1" customHeight="1" spans="1:16">
      <c r="A223" s="157" t="s">
        <v>1492</v>
      </c>
      <c r="B223" s="266" t="s">
        <v>1493</v>
      </c>
      <c r="C223" s="267"/>
      <c r="D223" s="268">
        <f t="shared" si="31"/>
        <v>0</v>
      </c>
      <c r="E223" s="267"/>
      <c r="F223" s="267"/>
      <c r="G223" s="267"/>
      <c r="H223" s="267"/>
      <c r="I223" s="287"/>
      <c r="J223" s="288">
        <f t="shared" si="34"/>
        <v>0</v>
      </c>
      <c r="K223" s="276" t="s">
        <v>1087</v>
      </c>
      <c r="L223" s="33">
        <v>1</v>
      </c>
      <c r="M223" s="157" t="s">
        <v>1492</v>
      </c>
      <c r="N223" s="157"/>
      <c r="O223" s="157" t="s">
        <v>481</v>
      </c>
      <c r="P223" s="289" t="s">
        <v>1494</v>
      </c>
    </row>
    <row r="224" s="92" customFormat="1" ht="20.1" customHeight="1" spans="1:16">
      <c r="A224" s="157" t="s">
        <v>1495</v>
      </c>
      <c r="B224" s="266" t="s">
        <v>1496</v>
      </c>
      <c r="C224" s="267"/>
      <c r="D224" s="268">
        <f t="shared" si="31"/>
        <v>0</v>
      </c>
      <c r="E224" s="267"/>
      <c r="F224" s="267"/>
      <c r="G224" s="267"/>
      <c r="H224" s="267"/>
      <c r="I224" s="287"/>
      <c r="J224" s="288">
        <f t="shared" si="34"/>
        <v>0</v>
      </c>
      <c r="K224" s="276" t="s">
        <v>1087</v>
      </c>
      <c r="L224" s="33">
        <v>1</v>
      </c>
      <c r="M224" s="157" t="s">
        <v>1495</v>
      </c>
      <c r="N224" s="157"/>
      <c r="O224" s="157" t="s">
        <v>481</v>
      </c>
      <c r="P224" s="289" t="s">
        <v>1497</v>
      </c>
    </row>
    <row r="225" s="92" customFormat="1" ht="20.1" customHeight="1" spans="1:16">
      <c r="A225" s="157" t="s">
        <v>1498</v>
      </c>
      <c r="B225" s="634" t="s">
        <v>1499</v>
      </c>
      <c r="C225" s="267"/>
      <c r="D225" s="268">
        <f t="shared" si="31"/>
        <v>0</v>
      </c>
      <c r="E225" s="267"/>
      <c r="F225" s="267"/>
      <c r="G225" s="267"/>
      <c r="H225" s="267"/>
      <c r="I225" s="287"/>
      <c r="J225" s="288"/>
      <c r="K225" s="276" t="s">
        <v>1087</v>
      </c>
      <c r="L225" s="33">
        <v>1</v>
      </c>
      <c r="M225" s="157" t="s">
        <v>1498</v>
      </c>
      <c r="N225" s="157"/>
      <c r="O225" s="157" t="s">
        <v>481</v>
      </c>
      <c r="P225" s="289" t="s">
        <v>1500</v>
      </c>
    </row>
    <row r="226" s="92" customFormat="1" ht="20.1" customHeight="1" spans="1:16">
      <c r="A226" s="157" t="s">
        <v>1501</v>
      </c>
      <c r="B226" s="634" t="s">
        <v>1502</v>
      </c>
      <c r="C226" s="267">
        <v>42</v>
      </c>
      <c r="D226" s="268">
        <f t="shared" si="31"/>
        <v>85</v>
      </c>
      <c r="E226" s="267">
        <v>34</v>
      </c>
      <c r="F226" s="267"/>
      <c r="G226" s="267">
        <v>24</v>
      </c>
      <c r="H226" s="267"/>
      <c r="I226" s="287">
        <v>27</v>
      </c>
      <c r="J226" s="288"/>
      <c r="K226" s="276" t="s">
        <v>1087</v>
      </c>
      <c r="L226" s="33">
        <v>1</v>
      </c>
      <c r="M226" s="157" t="s">
        <v>1501</v>
      </c>
      <c r="N226" s="157"/>
      <c r="O226" s="157" t="s">
        <v>481</v>
      </c>
      <c r="P226" s="289" t="s">
        <v>1503</v>
      </c>
    </row>
    <row r="227" s="92" customFormat="1" ht="20.1" customHeight="1" spans="1:16">
      <c r="A227" s="157" t="s">
        <v>1504</v>
      </c>
      <c r="B227" s="266" t="s">
        <v>1114</v>
      </c>
      <c r="C227" s="267"/>
      <c r="D227" s="268">
        <f t="shared" si="31"/>
        <v>0</v>
      </c>
      <c r="E227" s="267"/>
      <c r="F227" s="267"/>
      <c r="G227" s="267"/>
      <c r="H227" s="267"/>
      <c r="I227" s="287"/>
      <c r="J227" s="288">
        <f t="shared" ref="J227:J240" si="36">ROUND(IF(C227=0,IF(D227=0,0,1),IF(D227=0,-1,D227/C227)),4)*100</f>
        <v>0</v>
      </c>
      <c r="K227" s="276" t="s">
        <v>1087</v>
      </c>
      <c r="L227" s="33">
        <v>1</v>
      </c>
      <c r="M227" s="157" t="s">
        <v>1504</v>
      </c>
      <c r="N227" s="157"/>
      <c r="O227" s="157" t="s">
        <v>481</v>
      </c>
      <c r="P227" s="289" t="s">
        <v>1115</v>
      </c>
    </row>
    <row r="228" s="92" customFormat="1" ht="20.1" customHeight="1" spans="1:16">
      <c r="A228" s="157" t="s">
        <v>1505</v>
      </c>
      <c r="B228" s="266" t="s">
        <v>1506</v>
      </c>
      <c r="C228" s="267">
        <v>98</v>
      </c>
      <c r="D228" s="268">
        <f t="shared" si="31"/>
        <v>69</v>
      </c>
      <c r="E228" s="267"/>
      <c r="F228" s="267"/>
      <c r="G228" s="267">
        <v>23</v>
      </c>
      <c r="H228" s="267"/>
      <c r="I228" s="287">
        <v>46</v>
      </c>
      <c r="J228" s="288">
        <f t="shared" si="36"/>
        <v>70.41</v>
      </c>
      <c r="K228" s="276" t="s">
        <v>1087</v>
      </c>
      <c r="L228" s="33">
        <v>1</v>
      </c>
      <c r="M228" s="157" t="s">
        <v>1505</v>
      </c>
      <c r="N228" s="157"/>
      <c r="O228" s="157" t="s">
        <v>481</v>
      </c>
      <c r="P228" s="289" t="s">
        <v>1507</v>
      </c>
    </row>
    <row r="229" s="93" customFormat="1" ht="20.1" customHeight="1" spans="1:16">
      <c r="A229" s="263" t="s">
        <v>482</v>
      </c>
      <c r="B229" s="264" t="s">
        <v>1508</v>
      </c>
      <c r="C229" s="265">
        <f t="shared" ref="C229:I229" si="37">SUM(C230:C235)</f>
        <v>24</v>
      </c>
      <c r="D229" s="265">
        <f t="shared" si="31"/>
        <v>132</v>
      </c>
      <c r="E229" s="265">
        <f t="shared" si="37"/>
        <v>0</v>
      </c>
      <c r="F229" s="265">
        <f t="shared" si="37"/>
        <v>5</v>
      </c>
      <c r="G229" s="265">
        <f t="shared" si="37"/>
        <v>0</v>
      </c>
      <c r="H229" s="265">
        <f t="shared" si="37"/>
        <v>0</v>
      </c>
      <c r="I229" s="265">
        <f t="shared" si="37"/>
        <v>127</v>
      </c>
      <c r="J229" s="283">
        <f t="shared" si="36"/>
        <v>550</v>
      </c>
      <c r="K229" s="284" t="s">
        <v>1082</v>
      </c>
      <c r="L229" s="285"/>
      <c r="M229" s="263" t="s">
        <v>482</v>
      </c>
      <c r="N229" s="263" t="s">
        <v>455</v>
      </c>
      <c r="O229" s="263" t="s">
        <v>482</v>
      </c>
      <c r="P229" s="286" t="s">
        <v>1508</v>
      </c>
    </row>
    <row r="230" s="92" customFormat="1" ht="20.1" customHeight="1" spans="1:16">
      <c r="A230" s="157" t="s">
        <v>1509</v>
      </c>
      <c r="B230" s="269" t="s">
        <v>1086</v>
      </c>
      <c r="C230" s="267">
        <v>24</v>
      </c>
      <c r="D230" s="268">
        <f t="shared" si="31"/>
        <v>127</v>
      </c>
      <c r="E230" s="267"/>
      <c r="F230" s="267"/>
      <c r="G230" s="267"/>
      <c r="H230" s="267"/>
      <c r="I230" s="287">
        <v>127</v>
      </c>
      <c r="J230" s="288">
        <f t="shared" si="36"/>
        <v>529.17</v>
      </c>
      <c r="K230" s="276" t="s">
        <v>1087</v>
      </c>
      <c r="L230" s="33">
        <v>1</v>
      </c>
      <c r="M230" s="157" t="s">
        <v>1509</v>
      </c>
      <c r="N230" s="157"/>
      <c r="O230" s="157" t="s">
        <v>482</v>
      </c>
      <c r="P230" s="290" t="s">
        <v>1088</v>
      </c>
    </row>
    <row r="231" s="92" customFormat="1" ht="20.1" customHeight="1" spans="1:16">
      <c r="A231" s="157" t="s">
        <v>1510</v>
      </c>
      <c r="B231" s="269" t="s">
        <v>1090</v>
      </c>
      <c r="C231" s="267">
        <v>0</v>
      </c>
      <c r="D231" s="268">
        <f t="shared" si="31"/>
        <v>5</v>
      </c>
      <c r="E231" s="267"/>
      <c r="F231" s="267">
        <v>5</v>
      </c>
      <c r="G231" s="267"/>
      <c r="H231" s="267"/>
      <c r="I231" s="287"/>
      <c r="J231" s="288">
        <f t="shared" si="36"/>
        <v>100</v>
      </c>
      <c r="K231" s="276" t="s">
        <v>1087</v>
      </c>
      <c r="L231" s="33">
        <v>1</v>
      </c>
      <c r="M231" s="157" t="s">
        <v>1510</v>
      </c>
      <c r="N231" s="157"/>
      <c r="O231" s="157" t="s">
        <v>482</v>
      </c>
      <c r="P231" s="290" t="s">
        <v>1091</v>
      </c>
    </row>
    <row r="232" s="92" customFormat="1" ht="20.1" customHeight="1" spans="1:16">
      <c r="A232" s="157" t="s">
        <v>1511</v>
      </c>
      <c r="B232" s="266" t="s">
        <v>1093</v>
      </c>
      <c r="C232" s="267">
        <v>0</v>
      </c>
      <c r="D232" s="268">
        <f t="shared" si="31"/>
        <v>0</v>
      </c>
      <c r="E232" s="267"/>
      <c r="F232" s="267"/>
      <c r="G232" s="267"/>
      <c r="H232" s="267"/>
      <c r="I232" s="287"/>
      <c r="J232" s="288">
        <f t="shared" si="36"/>
        <v>0</v>
      </c>
      <c r="K232" s="276" t="s">
        <v>1087</v>
      </c>
      <c r="L232" s="33">
        <v>1</v>
      </c>
      <c r="M232" s="157" t="s">
        <v>1511</v>
      </c>
      <c r="N232" s="157"/>
      <c r="O232" s="157" t="s">
        <v>482</v>
      </c>
      <c r="P232" s="289" t="s">
        <v>1094</v>
      </c>
    </row>
    <row r="233" s="92" customFormat="1" ht="20.1" customHeight="1" spans="1:17">
      <c r="A233" s="157" t="s">
        <v>1512</v>
      </c>
      <c r="B233" s="266" t="s">
        <v>1406</v>
      </c>
      <c r="C233" s="267"/>
      <c r="D233" s="268">
        <f t="shared" si="31"/>
        <v>0</v>
      </c>
      <c r="E233" s="267"/>
      <c r="F233" s="267"/>
      <c r="G233" s="267"/>
      <c r="H233" s="267"/>
      <c r="I233" s="287"/>
      <c r="J233" s="288">
        <f t="shared" si="36"/>
        <v>0</v>
      </c>
      <c r="K233" s="276" t="s">
        <v>1087</v>
      </c>
      <c r="L233" s="33">
        <v>1</v>
      </c>
      <c r="M233" s="157" t="s">
        <v>1512</v>
      </c>
      <c r="N233" s="157"/>
      <c r="O233" s="157" t="s">
        <v>482</v>
      </c>
      <c r="P233" s="289" t="s">
        <v>1407</v>
      </c>
      <c r="Q233" s="295" t="s">
        <v>1513</v>
      </c>
    </row>
    <row r="234" s="92" customFormat="1" ht="20.1" customHeight="1" spans="1:16">
      <c r="A234" s="157" t="s">
        <v>1514</v>
      </c>
      <c r="B234" s="266" t="s">
        <v>1114</v>
      </c>
      <c r="C234" s="267">
        <v>0</v>
      </c>
      <c r="D234" s="268">
        <f t="shared" si="31"/>
        <v>0</v>
      </c>
      <c r="E234" s="267"/>
      <c r="F234" s="267"/>
      <c r="G234" s="267"/>
      <c r="H234" s="267"/>
      <c r="I234" s="287"/>
      <c r="J234" s="288">
        <f t="shared" si="36"/>
        <v>0</v>
      </c>
      <c r="K234" s="276" t="s">
        <v>1087</v>
      </c>
      <c r="L234" s="33">
        <v>1</v>
      </c>
      <c r="M234" s="157" t="s">
        <v>1514</v>
      </c>
      <c r="N234" s="157"/>
      <c r="O234" s="157" t="s">
        <v>482</v>
      </c>
      <c r="P234" s="289" t="s">
        <v>1115</v>
      </c>
    </row>
    <row r="235" s="92" customFormat="1" ht="20.1" customHeight="1" spans="1:16">
      <c r="A235" s="157" t="s">
        <v>1515</v>
      </c>
      <c r="B235" s="266" t="s">
        <v>1516</v>
      </c>
      <c r="C235" s="267"/>
      <c r="D235" s="268">
        <f t="shared" si="31"/>
        <v>0</v>
      </c>
      <c r="E235" s="267"/>
      <c r="F235" s="267"/>
      <c r="G235" s="267"/>
      <c r="H235" s="267"/>
      <c r="I235" s="287"/>
      <c r="J235" s="288">
        <f t="shared" si="36"/>
        <v>0</v>
      </c>
      <c r="K235" s="276" t="s">
        <v>1087</v>
      </c>
      <c r="L235" s="33">
        <v>1</v>
      </c>
      <c r="M235" s="157" t="s">
        <v>1515</v>
      </c>
      <c r="N235" s="157"/>
      <c r="O235" s="157" t="s">
        <v>482</v>
      </c>
      <c r="P235" s="289" t="s">
        <v>1517</v>
      </c>
    </row>
    <row r="236" s="93" customFormat="1" ht="20.1" customHeight="1" spans="1:16">
      <c r="A236" s="263" t="s">
        <v>483</v>
      </c>
      <c r="B236" s="264" t="s">
        <v>1518</v>
      </c>
      <c r="C236" s="265">
        <f t="shared" ref="C236:I236" si="38">SUM(C237:C242)</f>
        <v>151</v>
      </c>
      <c r="D236" s="265">
        <f t="shared" si="31"/>
        <v>163</v>
      </c>
      <c r="E236" s="265">
        <f t="shared" si="38"/>
        <v>0</v>
      </c>
      <c r="F236" s="265">
        <f t="shared" si="38"/>
        <v>0</v>
      </c>
      <c r="G236" s="265">
        <f t="shared" si="38"/>
        <v>0</v>
      </c>
      <c r="H236" s="265">
        <f t="shared" si="38"/>
        <v>0</v>
      </c>
      <c r="I236" s="265">
        <f t="shared" si="38"/>
        <v>163</v>
      </c>
      <c r="J236" s="283">
        <f t="shared" si="36"/>
        <v>107.95</v>
      </c>
      <c r="K236" s="284" t="s">
        <v>1082</v>
      </c>
      <c r="L236" s="285"/>
      <c r="M236" s="263" t="s">
        <v>483</v>
      </c>
      <c r="N236" s="263" t="s">
        <v>455</v>
      </c>
      <c r="O236" s="263" t="s">
        <v>483</v>
      </c>
      <c r="P236" s="286" t="s">
        <v>1519</v>
      </c>
    </row>
    <row r="237" s="92" customFormat="1" ht="20.1" customHeight="1" spans="1:16">
      <c r="A237" s="157" t="s">
        <v>1520</v>
      </c>
      <c r="B237" s="269" t="s">
        <v>1086</v>
      </c>
      <c r="C237" s="267">
        <v>151</v>
      </c>
      <c r="D237" s="268">
        <f t="shared" si="31"/>
        <v>135</v>
      </c>
      <c r="E237" s="267"/>
      <c r="F237" s="267"/>
      <c r="G237" s="267"/>
      <c r="H237" s="267"/>
      <c r="I237" s="287">
        <v>135</v>
      </c>
      <c r="J237" s="288">
        <f t="shared" si="36"/>
        <v>89.4</v>
      </c>
      <c r="K237" s="276" t="s">
        <v>1087</v>
      </c>
      <c r="L237" s="33">
        <v>1</v>
      </c>
      <c r="M237" s="157" t="s">
        <v>1520</v>
      </c>
      <c r="N237" s="157"/>
      <c r="O237" s="157" t="s">
        <v>483</v>
      </c>
      <c r="P237" s="164" t="s">
        <v>1088</v>
      </c>
    </row>
    <row r="238" s="92" customFormat="1" ht="20.1" customHeight="1" spans="1:16">
      <c r="A238" s="157" t="s">
        <v>1521</v>
      </c>
      <c r="B238" s="269" t="s">
        <v>1090</v>
      </c>
      <c r="C238" s="267">
        <v>0</v>
      </c>
      <c r="D238" s="268">
        <f t="shared" si="31"/>
        <v>0</v>
      </c>
      <c r="E238" s="267"/>
      <c r="F238" s="267"/>
      <c r="G238" s="267"/>
      <c r="H238" s="267"/>
      <c r="I238" s="287"/>
      <c r="J238" s="288">
        <f t="shared" si="36"/>
        <v>0</v>
      </c>
      <c r="K238" s="276" t="s">
        <v>1087</v>
      </c>
      <c r="L238" s="33">
        <v>1</v>
      </c>
      <c r="M238" s="157" t="s">
        <v>1521</v>
      </c>
      <c r="N238" s="157"/>
      <c r="O238" s="157" t="s">
        <v>483</v>
      </c>
      <c r="P238" s="164" t="s">
        <v>1091</v>
      </c>
    </row>
    <row r="239" s="92" customFormat="1" ht="20.1" customHeight="1" spans="1:16">
      <c r="A239" s="157" t="s">
        <v>1522</v>
      </c>
      <c r="B239" s="266" t="s">
        <v>1093</v>
      </c>
      <c r="C239" s="267">
        <v>0</v>
      </c>
      <c r="D239" s="268">
        <f t="shared" si="31"/>
        <v>0</v>
      </c>
      <c r="E239" s="267"/>
      <c r="F239" s="267"/>
      <c r="G239" s="267"/>
      <c r="H239" s="267"/>
      <c r="I239" s="287"/>
      <c r="J239" s="288">
        <f t="shared" si="36"/>
        <v>0</v>
      </c>
      <c r="K239" s="276" t="s">
        <v>1087</v>
      </c>
      <c r="L239" s="33">
        <v>1</v>
      </c>
      <c r="M239" s="157" t="s">
        <v>1522</v>
      </c>
      <c r="N239" s="157"/>
      <c r="O239" s="157" t="s">
        <v>483</v>
      </c>
      <c r="P239" s="164" t="s">
        <v>1094</v>
      </c>
    </row>
    <row r="240" s="92" customFormat="1" ht="20.1" customHeight="1" spans="1:16">
      <c r="A240" s="157" t="s">
        <v>1523</v>
      </c>
      <c r="B240" s="266" t="s">
        <v>1524</v>
      </c>
      <c r="C240" s="267">
        <v>0</v>
      </c>
      <c r="D240" s="268">
        <f t="shared" si="31"/>
        <v>28</v>
      </c>
      <c r="E240" s="267"/>
      <c r="F240" s="267"/>
      <c r="G240" s="267"/>
      <c r="H240" s="267"/>
      <c r="I240" s="287">
        <v>28</v>
      </c>
      <c r="J240" s="288">
        <f t="shared" si="36"/>
        <v>100</v>
      </c>
      <c r="K240" s="276" t="s">
        <v>1087</v>
      </c>
      <c r="L240" s="33">
        <v>1</v>
      </c>
      <c r="M240" s="157" t="s">
        <v>1523</v>
      </c>
      <c r="N240" s="157"/>
      <c r="O240" s="157" t="s">
        <v>483</v>
      </c>
      <c r="P240" s="164" t="s">
        <v>1525</v>
      </c>
    </row>
    <row r="241" s="92" customFormat="1" ht="20.1" customHeight="1" spans="1:16">
      <c r="A241" s="157" t="s">
        <v>1526</v>
      </c>
      <c r="B241" s="266" t="s">
        <v>1114</v>
      </c>
      <c r="C241" s="267"/>
      <c r="D241" s="268"/>
      <c r="E241" s="267"/>
      <c r="F241" s="267"/>
      <c r="G241" s="267"/>
      <c r="H241" s="267"/>
      <c r="I241" s="287"/>
      <c r="J241" s="288"/>
      <c r="K241" s="276" t="s">
        <v>1087</v>
      </c>
      <c r="L241" s="33">
        <v>1</v>
      </c>
      <c r="M241" s="157" t="s">
        <v>1526</v>
      </c>
      <c r="N241" s="157"/>
      <c r="O241" s="157" t="s">
        <v>483</v>
      </c>
      <c r="P241" s="164" t="s">
        <v>1115</v>
      </c>
    </row>
    <row r="242" s="92" customFormat="1" ht="20.1" customHeight="1" spans="1:16">
      <c r="A242" s="157" t="s">
        <v>1527</v>
      </c>
      <c r="B242" s="266" t="s">
        <v>1528</v>
      </c>
      <c r="C242" s="267">
        <v>0</v>
      </c>
      <c r="D242" s="268">
        <f t="shared" ref="D242:D305" si="39">SUM(E242:I242)</f>
        <v>0</v>
      </c>
      <c r="E242" s="267"/>
      <c r="F242" s="267"/>
      <c r="G242" s="267"/>
      <c r="H242" s="267"/>
      <c r="I242" s="287"/>
      <c r="J242" s="288">
        <f>ROUND(IF(C242=0,IF(D242=0,0,1),IF(D242=0,-1,D242/C242)),4)*100</f>
        <v>0</v>
      </c>
      <c r="K242" s="276" t="s">
        <v>1087</v>
      </c>
      <c r="L242" s="33">
        <v>1</v>
      </c>
      <c r="M242" s="157" t="s">
        <v>1527</v>
      </c>
      <c r="N242" s="157"/>
      <c r="O242" s="157" t="s">
        <v>483</v>
      </c>
      <c r="P242" s="164" t="s">
        <v>1529</v>
      </c>
    </row>
    <row r="243" s="93" customFormat="1" ht="20.1" customHeight="1" spans="1:16">
      <c r="A243" s="263" t="s">
        <v>1530</v>
      </c>
      <c r="B243" s="264" t="s">
        <v>1531</v>
      </c>
      <c r="C243" s="265">
        <f t="shared" ref="C243:I243" si="40">SUM(C244:C248)</f>
        <v>0</v>
      </c>
      <c r="D243" s="265">
        <f t="shared" si="39"/>
        <v>0</v>
      </c>
      <c r="E243" s="265">
        <f t="shared" si="40"/>
        <v>0</v>
      </c>
      <c r="F243" s="265">
        <f t="shared" si="40"/>
        <v>0</v>
      </c>
      <c r="G243" s="265">
        <f t="shared" si="40"/>
        <v>0</v>
      </c>
      <c r="H243" s="265">
        <f t="shared" si="40"/>
        <v>0</v>
      </c>
      <c r="I243" s="265">
        <f t="shared" si="40"/>
        <v>0</v>
      </c>
      <c r="J243" s="283"/>
      <c r="K243" s="284" t="s">
        <v>1082</v>
      </c>
      <c r="L243" s="285"/>
      <c r="M243" s="263" t="s">
        <v>1530</v>
      </c>
      <c r="N243" s="263" t="s">
        <v>455</v>
      </c>
      <c r="O243" s="263" t="s">
        <v>1530</v>
      </c>
      <c r="P243" s="286" t="s">
        <v>1532</v>
      </c>
    </row>
    <row r="244" s="92" customFormat="1" ht="20.1" customHeight="1" spans="1:16">
      <c r="A244" s="157" t="s">
        <v>1533</v>
      </c>
      <c r="B244" s="269" t="s">
        <v>1086</v>
      </c>
      <c r="C244" s="267"/>
      <c r="D244" s="268">
        <f t="shared" si="39"/>
        <v>0</v>
      </c>
      <c r="E244" s="267"/>
      <c r="F244" s="267"/>
      <c r="G244" s="267"/>
      <c r="H244" s="267"/>
      <c r="I244" s="287"/>
      <c r="J244" s="288"/>
      <c r="K244" s="276" t="s">
        <v>1087</v>
      </c>
      <c r="L244" s="33">
        <v>1</v>
      </c>
      <c r="M244" s="157" t="s">
        <v>1533</v>
      </c>
      <c r="N244" s="157"/>
      <c r="O244" s="157" t="s">
        <v>1530</v>
      </c>
      <c r="P244" s="164" t="s">
        <v>1088</v>
      </c>
    </row>
    <row r="245" s="92" customFormat="1" ht="20.1" customHeight="1" spans="1:16">
      <c r="A245" s="157" t="s">
        <v>1534</v>
      </c>
      <c r="B245" s="269" t="s">
        <v>1090</v>
      </c>
      <c r="C245" s="267"/>
      <c r="D245" s="268">
        <f t="shared" si="39"/>
        <v>0</v>
      </c>
      <c r="E245" s="267"/>
      <c r="F245" s="267"/>
      <c r="G245" s="267"/>
      <c r="H245" s="267"/>
      <c r="I245" s="287"/>
      <c r="J245" s="288"/>
      <c r="K245" s="276" t="s">
        <v>1087</v>
      </c>
      <c r="L245" s="33">
        <v>1</v>
      </c>
      <c r="M245" s="157" t="s">
        <v>1534</v>
      </c>
      <c r="N245" s="157"/>
      <c r="O245" s="157" t="s">
        <v>1530</v>
      </c>
      <c r="P245" s="164" t="s">
        <v>1091</v>
      </c>
    </row>
    <row r="246" s="92" customFormat="1" ht="20.1" customHeight="1" spans="1:16">
      <c r="A246" s="157" t="s">
        <v>1535</v>
      </c>
      <c r="B246" s="266" t="s">
        <v>1093</v>
      </c>
      <c r="C246" s="267"/>
      <c r="D246" s="268">
        <f t="shared" si="39"/>
        <v>0</v>
      </c>
      <c r="E246" s="267"/>
      <c r="F246" s="267"/>
      <c r="G246" s="267"/>
      <c r="H246" s="267"/>
      <c r="I246" s="287"/>
      <c r="J246" s="288"/>
      <c r="K246" s="276" t="s">
        <v>1087</v>
      </c>
      <c r="L246" s="33">
        <v>1</v>
      </c>
      <c r="M246" s="157" t="s">
        <v>1535</v>
      </c>
      <c r="N246" s="157"/>
      <c r="O246" s="157" t="s">
        <v>1530</v>
      </c>
      <c r="P246" s="164" t="s">
        <v>1094</v>
      </c>
    </row>
    <row r="247" s="92" customFormat="1" ht="20.1" customHeight="1" spans="1:16">
      <c r="A247" s="157" t="s">
        <v>1536</v>
      </c>
      <c r="B247" s="266" t="s">
        <v>1114</v>
      </c>
      <c r="C247" s="267"/>
      <c r="D247" s="268">
        <f t="shared" si="39"/>
        <v>0</v>
      </c>
      <c r="E247" s="267"/>
      <c r="F247" s="267"/>
      <c r="G247" s="267"/>
      <c r="H247" s="267"/>
      <c r="I247" s="287"/>
      <c r="J247" s="288"/>
      <c r="K247" s="276" t="s">
        <v>1087</v>
      </c>
      <c r="L247" s="33">
        <v>1</v>
      </c>
      <c r="M247" s="157" t="s">
        <v>1536</v>
      </c>
      <c r="N247" s="157"/>
      <c r="O247" s="157" t="s">
        <v>1530</v>
      </c>
      <c r="P247" s="164" t="s">
        <v>1115</v>
      </c>
    </row>
    <row r="248" s="92" customFormat="1" ht="20.1" customHeight="1" spans="1:16">
      <c r="A248" s="157" t="s">
        <v>1537</v>
      </c>
      <c r="B248" s="266" t="s">
        <v>1538</v>
      </c>
      <c r="C248" s="267"/>
      <c r="D248" s="268">
        <f t="shared" si="39"/>
        <v>0</v>
      </c>
      <c r="E248" s="267"/>
      <c r="F248" s="267"/>
      <c r="G248" s="267"/>
      <c r="H248" s="267"/>
      <c r="I248" s="287"/>
      <c r="J248" s="288"/>
      <c r="K248" s="276" t="s">
        <v>1087</v>
      </c>
      <c r="L248" s="33">
        <v>1</v>
      </c>
      <c r="M248" s="157" t="s">
        <v>1537</v>
      </c>
      <c r="N248" s="157"/>
      <c r="O248" s="157" t="s">
        <v>1530</v>
      </c>
      <c r="P248" s="164" t="s">
        <v>1539</v>
      </c>
    </row>
    <row r="249" s="93" customFormat="1" ht="20.1" customHeight="1" spans="1:16">
      <c r="A249" s="263" t="s">
        <v>484</v>
      </c>
      <c r="B249" s="264" t="s">
        <v>250</v>
      </c>
      <c r="C249" s="265">
        <f t="shared" ref="C249:I249" si="41">SUM(C250:C251)</f>
        <v>1569</v>
      </c>
      <c r="D249" s="265">
        <f t="shared" si="39"/>
        <v>2252</v>
      </c>
      <c r="E249" s="265">
        <f t="shared" si="41"/>
        <v>0</v>
      </c>
      <c r="F249" s="265">
        <f t="shared" si="41"/>
        <v>0</v>
      </c>
      <c r="G249" s="265">
        <f t="shared" si="41"/>
        <v>0</v>
      </c>
      <c r="H249" s="265">
        <f t="shared" si="41"/>
        <v>2000</v>
      </c>
      <c r="I249" s="265">
        <f t="shared" si="41"/>
        <v>252</v>
      </c>
      <c r="J249" s="283">
        <f t="shared" ref="J249:J252" si="42">ROUND(IF(C249=0,IF(D249=0,0,1),IF(D249=0,-1,D249/C249)),4)*100</f>
        <v>143.53</v>
      </c>
      <c r="K249" s="284" t="s">
        <v>1082</v>
      </c>
      <c r="L249" s="285"/>
      <c r="M249" s="263" t="s">
        <v>484</v>
      </c>
      <c r="N249" s="263" t="s">
        <v>455</v>
      </c>
      <c r="O249" s="263" t="s">
        <v>484</v>
      </c>
      <c r="P249" s="286" t="s">
        <v>1540</v>
      </c>
    </row>
    <row r="250" s="92" customFormat="1" ht="20.1" customHeight="1" spans="1:16">
      <c r="A250" s="157" t="s">
        <v>1541</v>
      </c>
      <c r="B250" s="269" t="s">
        <v>1542</v>
      </c>
      <c r="C250" s="267">
        <v>0</v>
      </c>
      <c r="D250" s="268">
        <f t="shared" si="39"/>
        <v>0</v>
      </c>
      <c r="E250" s="267"/>
      <c r="F250" s="267"/>
      <c r="G250" s="267"/>
      <c r="H250" s="267"/>
      <c r="I250" s="287"/>
      <c r="J250" s="288">
        <f t="shared" si="42"/>
        <v>0</v>
      </c>
      <c r="K250" s="276" t="s">
        <v>1087</v>
      </c>
      <c r="L250" s="33">
        <v>1</v>
      </c>
      <c r="M250" s="157" t="s">
        <v>1541</v>
      </c>
      <c r="N250" s="157"/>
      <c r="O250" s="157" t="s">
        <v>484</v>
      </c>
      <c r="P250" s="163" t="s">
        <v>1543</v>
      </c>
    </row>
    <row r="251" s="92" customFormat="1" ht="20.1" customHeight="1" spans="1:16">
      <c r="A251" s="157" t="s">
        <v>1544</v>
      </c>
      <c r="B251" s="269" t="s">
        <v>1545</v>
      </c>
      <c r="C251" s="267">
        <v>1569</v>
      </c>
      <c r="D251" s="268">
        <f t="shared" si="39"/>
        <v>2252</v>
      </c>
      <c r="E251" s="267"/>
      <c r="F251" s="267"/>
      <c r="G251" s="267"/>
      <c r="H251" s="267">
        <v>2000</v>
      </c>
      <c r="I251" s="287">
        <v>252</v>
      </c>
      <c r="J251" s="288">
        <f t="shared" si="42"/>
        <v>143.53</v>
      </c>
      <c r="K251" s="276" t="s">
        <v>1087</v>
      </c>
      <c r="L251" s="33">
        <v>1</v>
      </c>
      <c r="M251" s="157" t="s">
        <v>1544</v>
      </c>
      <c r="N251" s="157"/>
      <c r="O251" s="157" t="s">
        <v>484</v>
      </c>
      <c r="P251" s="163" t="s">
        <v>1540</v>
      </c>
    </row>
    <row r="252" s="93" customFormat="1" ht="20.1" customHeight="1" spans="1:16">
      <c r="A252" s="154" t="s">
        <v>485</v>
      </c>
      <c r="B252" s="261" t="s">
        <v>251</v>
      </c>
      <c r="C252" s="262">
        <f t="shared" ref="C252:I252" si="43">C253+C260+C263+C266+C272+C277+C279+C284+C290</f>
        <v>0</v>
      </c>
      <c r="D252" s="262">
        <f t="shared" si="39"/>
        <v>0</v>
      </c>
      <c r="E252" s="262">
        <f t="shared" si="43"/>
        <v>0</v>
      </c>
      <c r="F252" s="262">
        <f t="shared" si="43"/>
        <v>0</v>
      </c>
      <c r="G252" s="262">
        <f t="shared" si="43"/>
        <v>0</v>
      </c>
      <c r="H252" s="262">
        <f t="shared" si="43"/>
        <v>0</v>
      </c>
      <c r="I252" s="262">
        <f t="shared" si="43"/>
        <v>0</v>
      </c>
      <c r="J252" s="279">
        <f t="shared" si="42"/>
        <v>0</v>
      </c>
      <c r="K252" s="280" t="s">
        <v>1081</v>
      </c>
      <c r="L252" s="281"/>
      <c r="M252" s="154" t="s">
        <v>485</v>
      </c>
      <c r="N252" s="154" t="s">
        <v>485</v>
      </c>
      <c r="O252" s="154" t="s">
        <v>485</v>
      </c>
      <c r="P252" s="282" t="s">
        <v>1546</v>
      </c>
    </row>
    <row r="253" s="93" customFormat="1" ht="20.1" customHeight="1" spans="1:16">
      <c r="A253" s="263" t="s">
        <v>1547</v>
      </c>
      <c r="B253" s="264" t="s">
        <v>1548</v>
      </c>
      <c r="C253" s="265">
        <f t="shared" ref="C253:I253" si="44">SUM(C254:C259)</f>
        <v>0</v>
      </c>
      <c r="D253" s="265">
        <f t="shared" si="39"/>
        <v>0</v>
      </c>
      <c r="E253" s="265">
        <f t="shared" si="44"/>
        <v>0</v>
      </c>
      <c r="F253" s="265">
        <f t="shared" si="44"/>
        <v>0</v>
      </c>
      <c r="G253" s="265">
        <f t="shared" si="44"/>
        <v>0</v>
      </c>
      <c r="H253" s="265">
        <f t="shared" si="44"/>
        <v>0</v>
      </c>
      <c r="I253" s="265">
        <f t="shared" si="44"/>
        <v>0</v>
      </c>
      <c r="J253" s="283"/>
      <c r="K253" s="284" t="s">
        <v>1082</v>
      </c>
      <c r="L253" s="285"/>
      <c r="M253" s="263" t="s">
        <v>1547</v>
      </c>
      <c r="N253" s="263" t="s">
        <v>485</v>
      </c>
      <c r="O253" s="263" t="s">
        <v>1547</v>
      </c>
      <c r="P253" s="292" t="s">
        <v>1549</v>
      </c>
    </row>
    <row r="254" s="93" customFormat="1" ht="20.1" customHeight="1" spans="1:16">
      <c r="A254" s="157" t="s">
        <v>1550</v>
      </c>
      <c r="B254" s="269" t="s">
        <v>1086</v>
      </c>
      <c r="C254" s="268"/>
      <c r="D254" s="268">
        <f t="shared" si="39"/>
        <v>0</v>
      </c>
      <c r="E254" s="268"/>
      <c r="F254" s="268"/>
      <c r="G254" s="268"/>
      <c r="H254" s="268"/>
      <c r="I254" s="268"/>
      <c r="J254" s="293"/>
      <c r="K254" s="276" t="s">
        <v>1087</v>
      </c>
      <c r="L254" s="33">
        <v>1</v>
      </c>
      <c r="M254" s="157" t="s">
        <v>1550</v>
      </c>
      <c r="N254" s="294"/>
      <c r="O254" s="157" t="s">
        <v>1547</v>
      </c>
      <c r="P254" s="290" t="s">
        <v>1088</v>
      </c>
    </row>
    <row r="255" s="93" customFormat="1" ht="20.1" customHeight="1" spans="1:16">
      <c r="A255" s="157" t="s">
        <v>1551</v>
      </c>
      <c r="B255" s="269" t="s">
        <v>1090</v>
      </c>
      <c r="C255" s="268"/>
      <c r="D255" s="268">
        <f t="shared" si="39"/>
        <v>0</v>
      </c>
      <c r="E255" s="268"/>
      <c r="F255" s="268"/>
      <c r="G255" s="268"/>
      <c r="H255" s="268"/>
      <c r="I255" s="268"/>
      <c r="J255" s="293"/>
      <c r="K255" s="276" t="s">
        <v>1087</v>
      </c>
      <c r="L255" s="33">
        <v>1</v>
      </c>
      <c r="M255" s="157" t="s">
        <v>1551</v>
      </c>
      <c r="N255" s="294"/>
      <c r="O255" s="157" t="s">
        <v>1547</v>
      </c>
      <c r="P255" s="290" t="s">
        <v>1091</v>
      </c>
    </row>
    <row r="256" s="93" customFormat="1" ht="20.1" customHeight="1" spans="1:16">
      <c r="A256" s="157" t="s">
        <v>1552</v>
      </c>
      <c r="B256" s="266" t="s">
        <v>1093</v>
      </c>
      <c r="C256" s="268"/>
      <c r="D256" s="268">
        <f t="shared" si="39"/>
        <v>0</v>
      </c>
      <c r="E256" s="268"/>
      <c r="F256" s="268"/>
      <c r="G256" s="268"/>
      <c r="H256" s="268"/>
      <c r="I256" s="268"/>
      <c r="J256" s="293"/>
      <c r="K256" s="276" t="s">
        <v>1087</v>
      </c>
      <c r="L256" s="33">
        <v>1</v>
      </c>
      <c r="M256" s="157" t="s">
        <v>1552</v>
      </c>
      <c r="N256" s="294"/>
      <c r="O256" s="157" t="s">
        <v>1547</v>
      </c>
      <c r="P256" s="289" t="s">
        <v>1094</v>
      </c>
    </row>
    <row r="257" s="93" customFormat="1" ht="20.1" customHeight="1" spans="1:16">
      <c r="A257" s="157" t="s">
        <v>1553</v>
      </c>
      <c r="B257" s="266" t="s">
        <v>1406</v>
      </c>
      <c r="C257" s="268"/>
      <c r="D257" s="268">
        <f t="shared" si="39"/>
        <v>0</v>
      </c>
      <c r="E257" s="268"/>
      <c r="F257" s="268"/>
      <c r="G257" s="268"/>
      <c r="H257" s="268"/>
      <c r="I257" s="268"/>
      <c r="J257" s="293"/>
      <c r="K257" s="276" t="s">
        <v>1087</v>
      </c>
      <c r="L257" s="33">
        <v>1</v>
      </c>
      <c r="M257" s="157" t="s">
        <v>1553</v>
      </c>
      <c r="N257" s="294"/>
      <c r="O257" s="157" t="s">
        <v>1547</v>
      </c>
      <c r="P257" s="289" t="s">
        <v>1407</v>
      </c>
    </row>
    <row r="258" s="93" customFormat="1" ht="20.1" customHeight="1" spans="1:16">
      <c r="A258" s="157" t="s">
        <v>1554</v>
      </c>
      <c r="B258" s="266" t="s">
        <v>1114</v>
      </c>
      <c r="C258" s="268"/>
      <c r="D258" s="268">
        <f t="shared" si="39"/>
        <v>0</v>
      </c>
      <c r="E258" s="268"/>
      <c r="F258" s="268"/>
      <c r="G258" s="268"/>
      <c r="H258" s="268"/>
      <c r="I258" s="268"/>
      <c r="J258" s="293"/>
      <c r="K258" s="276" t="s">
        <v>1087</v>
      </c>
      <c r="L258" s="33">
        <v>1</v>
      </c>
      <c r="M258" s="157" t="s">
        <v>1554</v>
      </c>
      <c r="N258" s="294"/>
      <c r="O258" s="157" t="s">
        <v>1547</v>
      </c>
      <c r="P258" s="289" t="s">
        <v>1115</v>
      </c>
    </row>
    <row r="259" s="93" customFormat="1" ht="20.1" customHeight="1" spans="1:16">
      <c r="A259" s="157" t="s">
        <v>1555</v>
      </c>
      <c r="B259" s="266" t="s">
        <v>1556</v>
      </c>
      <c r="C259" s="268"/>
      <c r="D259" s="268">
        <f t="shared" si="39"/>
        <v>0</v>
      </c>
      <c r="E259" s="268"/>
      <c r="F259" s="268"/>
      <c r="G259" s="268"/>
      <c r="H259" s="268"/>
      <c r="I259" s="268"/>
      <c r="J259" s="293"/>
      <c r="K259" s="276" t="s">
        <v>1087</v>
      </c>
      <c r="L259" s="33">
        <v>1</v>
      </c>
      <c r="M259" s="157" t="s">
        <v>1555</v>
      </c>
      <c r="N259" s="294"/>
      <c r="O259" s="157" t="s">
        <v>1547</v>
      </c>
      <c r="P259" s="289" t="s">
        <v>1557</v>
      </c>
    </row>
    <row r="260" s="93" customFormat="1" ht="20.1" customHeight="1" spans="1:16">
      <c r="A260" s="263" t="s">
        <v>1558</v>
      </c>
      <c r="B260" s="264" t="s">
        <v>1559</v>
      </c>
      <c r="C260" s="265">
        <f t="shared" ref="C260:I260" si="45">SUM(C261:C262)</f>
        <v>0</v>
      </c>
      <c r="D260" s="265">
        <f t="shared" si="39"/>
        <v>0</v>
      </c>
      <c r="E260" s="265">
        <f t="shared" si="45"/>
        <v>0</v>
      </c>
      <c r="F260" s="265">
        <f t="shared" si="45"/>
        <v>0</v>
      </c>
      <c r="G260" s="265">
        <f t="shared" si="45"/>
        <v>0</v>
      </c>
      <c r="H260" s="265">
        <f t="shared" si="45"/>
        <v>0</v>
      </c>
      <c r="I260" s="265">
        <f t="shared" si="45"/>
        <v>0</v>
      </c>
      <c r="J260" s="283"/>
      <c r="K260" s="284" t="s">
        <v>1082</v>
      </c>
      <c r="L260" s="285"/>
      <c r="M260" s="263" t="s">
        <v>1558</v>
      </c>
      <c r="N260" s="263" t="s">
        <v>485</v>
      </c>
      <c r="O260" s="263" t="s">
        <v>1558</v>
      </c>
      <c r="P260" s="292" t="s">
        <v>1560</v>
      </c>
    </row>
    <row r="261" s="93" customFormat="1" ht="20.1" customHeight="1" spans="1:16">
      <c r="A261" s="157" t="s">
        <v>1561</v>
      </c>
      <c r="B261" s="269" t="s">
        <v>1562</v>
      </c>
      <c r="C261" s="268"/>
      <c r="D261" s="268">
        <f t="shared" si="39"/>
        <v>0</v>
      </c>
      <c r="E261" s="268"/>
      <c r="F261" s="268"/>
      <c r="G261" s="268"/>
      <c r="H261" s="268"/>
      <c r="I261" s="268"/>
      <c r="J261" s="293"/>
      <c r="K261" s="276" t="s">
        <v>1087</v>
      </c>
      <c r="L261" s="33">
        <v>1</v>
      </c>
      <c r="M261" s="157" t="s">
        <v>1561</v>
      </c>
      <c r="N261" s="294"/>
      <c r="O261" s="157" t="s">
        <v>1558</v>
      </c>
      <c r="P261" s="290" t="s">
        <v>1563</v>
      </c>
    </row>
    <row r="262" s="93" customFormat="1" ht="20.1" customHeight="1" spans="1:16">
      <c r="A262" s="157" t="s">
        <v>1564</v>
      </c>
      <c r="B262" s="269" t="s">
        <v>1565</v>
      </c>
      <c r="C262" s="268"/>
      <c r="D262" s="268">
        <f t="shared" si="39"/>
        <v>0</v>
      </c>
      <c r="E262" s="268"/>
      <c r="F262" s="268"/>
      <c r="G262" s="268"/>
      <c r="H262" s="268"/>
      <c r="I262" s="268"/>
      <c r="J262" s="293"/>
      <c r="K262" s="276" t="s">
        <v>1087</v>
      </c>
      <c r="L262" s="33">
        <v>1</v>
      </c>
      <c r="M262" s="157" t="s">
        <v>1564</v>
      </c>
      <c r="N262" s="294"/>
      <c r="O262" s="157" t="s">
        <v>1558</v>
      </c>
      <c r="P262" s="290" t="s">
        <v>1566</v>
      </c>
    </row>
    <row r="263" s="93" customFormat="1" ht="20.1" customHeight="1" spans="1:16">
      <c r="A263" s="263" t="s">
        <v>1567</v>
      </c>
      <c r="B263" s="264" t="s">
        <v>1568</v>
      </c>
      <c r="C263" s="265">
        <f t="shared" ref="C263:I263" si="46">SUM(C264:C265)</f>
        <v>0</v>
      </c>
      <c r="D263" s="265">
        <f t="shared" si="39"/>
        <v>0</v>
      </c>
      <c r="E263" s="265">
        <f t="shared" si="46"/>
        <v>0</v>
      </c>
      <c r="F263" s="265">
        <f t="shared" si="46"/>
        <v>0</v>
      </c>
      <c r="G263" s="265">
        <f t="shared" si="46"/>
        <v>0</v>
      </c>
      <c r="H263" s="265">
        <f t="shared" si="46"/>
        <v>0</v>
      </c>
      <c r="I263" s="265">
        <f t="shared" si="46"/>
        <v>0</v>
      </c>
      <c r="J263" s="283"/>
      <c r="K263" s="284" t="s">
        <v>1082</v>
      </c>
      <c r="L263" s="285"/>
      <c r="M263" s="263" t="s">
        <v>1567</v>
      </c>
      <c r="N263" s="263" t="s">
        <v>485</v>
      </c>
      <c r="O263" s="263" t="s">
        <v>1567</v>
      </c>
      <c r="P263" s="292" t="s">
        <v>1560</v>
      </c>
    </row>
    <row r="264" s="93" customFormat="1" ht="20.1" customHeight="1" spans="1:16">
      <c r="A264" s="157" t="s">
        <v>1569</v>
      </c>
      <c r="B264" s="269" t="s">
        <v>1570</v>
      </c>
      <c r="C264" s="268"/>
      <c r="D264" s="268">
        <f t="shared" si="39"/>
        <v>0</v>
      </c>
      <c r="E264" s="268"/>
      <c r="F264" s="268"/>
      <c r="G264" s="268"/>
      <c r="H264" s="268"/>
      <c r="I264" s="268"/>
      <c r="J264" s="293"/>
      <c r="K264" s="276" t="s">
        <v>1087</v>
      </c>
      <c r="L264" s="33">
        <v>1</v>
      </c>
      <c r="M264" s="157" t="s">
        <v>1569</v>
      </c>
      <c r="N264" s="294"/>
      <c r="O264" s="157" t="s">
        <v>1567</v>
      </c>
      <c r="P264" s="290" t="s">
        <v>1571</v>
      </c>
    </row>
    <row r="265" s="93" customFormat="1" ht="20.1" customHeight="1" spans="1:16">
      <c r="A265" s="157" t="s">
        <v>1572</v>
      </c>
      <c r="B265" s="269" t="s">
        <v>1573</v>
      </c>
      <c r="C265" s="268"/>
      <c r="D265" s="268">
        <f t="shared" si="39"/>
        <v>0</v>
      </c>
      <c r="E265" s="268"/>
      <c r="F265" s="268"/>
      <c r="G265" s="268"/>
      <c r="H265" s="268"/>
      <c r="I265" s="268"/>
      <c r="J265" s="293"/>
      <c r="K265" s="276" t="s">
        <v>1087</v>
      </c>
      <c r="L265" s="33">
        <v>1</v>
      </c>
      <c r="M265" s="157" t="s">
        <v>1572</v>
      </c>
      <c r="N265" s="294"/>
      <c r="O265" s="157" t="s">
        <v>1567</v>
      </c>
      <c r="P265" s="290" t="s">
        <v>1574</v>
      </c>
    </row>
    <row r="266" s="93" customFormat="1" ht="20.1" customHeight="1" spans="1:16">
      <c r="A266" s="263" t="s">
        <v>1575</v>
      </c>
      <c r="B266" s="264" t="s">
        <v>1576</v>
      </c>
      <c r="C266" s="265">
        <f t="shared" ref="C266:I266" si="47">SUM(C267:C271)</f>
        <v>0</v>
      </c>
      <c r="D266" s="265">
        <f t="shared" si="39"/>
        <v>0</v>
      </c>
      <c r="E266" s="265">
        <f t="shared" si="47"/>
        <v>0</v>
      </c>
      <c r="F266" s="265">
        <f t="shared" si="47"/>
        <v>0</v>
      </c>
      <c r="G266" s="265">
        <f t="shared" si="47"/>
        <v>0</v>
      </c>
      <c r="H266" s="265">
        <f t="shared" si="47"/>
        <v>0</v>
      </c>
      <c r="I266" s="265">
        <f t="shared" si="47"/>
        <v>0</v>
      </c>
      <c r="J266" s="283"/>
      <c r="K266" s="284" t="s">
        <v>1082</v>
      </c>
      <c r="L266" s="285"/>
      <c r="M266" s="263" t="s">
        <v>1575</v>
      </c>
      <c r="N266" s="263" t="s">
        <v>485</v>
      </c>
      <c r="O266" s="263" t="s">
        <v>1575</v>
      </c>
      <c r="P266" s="292" t="s">
        <v>1549</v>
      </c>
    </row>
    <row r="267" s="93" customFormat="1" ht="20.1" customHeight="1" spans="1:16">
      <c r="A267" s="157" t="s">
        <v>1577</v>
      </c>
      <c r="B267" s="269" t="s">
        <v>1578</v>
      </c>
      <c r="C267" s="268"/>
      <c r="D267" s="268">
        <f t="shared" si="39"/>
        <v>0</v>
      </c>
      <c r="E267" s="268"/>
      <c r="F267" s="268"/>
      <c r="G267" s="268"/>
      <c r="H267" s="268"/>
      <c r="I267" s="268"/>
      <c r="J267" s="293"/>
      <c r="K267" s="276" t="s">
        <v>1087</v>
      </c>
      <c r="L267" s="33">
        <v>1</v>
      </c>
      <c r="M267" s="157" t="s">
        <v>1577</v>
      </c>
      <c r="N267" s="294"/>
      <c r="O267" s="157" t="s">
        <v>1575</v>
      </c>
      <c r="P267" s="290" t="s">
        <v>1579</v>
      </c>
    </row>
    <row r="268" s="93" customFormat="1" ht="20.1" customHeight="1" spans="1:16">
      <c r="A268" s="157" t="s">
        <v>1580</v>
      </c>
      <c r="B268" s="269" t="s">
        <v>1581</v>
      </c>
      <c r="C268" s="268"/>
      <c r="D268" s="268">
        <f t="shared" si="39"/>
        <v>0</v>
      </c>
      <c r="E268" s="268"/>
      <c r="F268" s="268"/>
      <c r="G268" s="268"/>
      <c r="H268" s="268"/>
      <c r="I268" s="268"/>
      <c r="J268" s="293"/>
      <c r="K268" s="276" t="s">
        <v>1087</v>
      </c>
      <c r="L268" s="33">
        <v>1</v>
      </c>
      <c r="M268" s="157" t="s">
        <v>1580</v>
      </c>
      <c r="N268" s="294"/>
      <c r="O268" s="157" t="s">
        <v>1575</v>
      </c>
      <c r="P268" s="290" t="s">
        <v>1582</v>
      </c>
    </row>
    <row r="269" s="93" customFormat="1" ht="20.1" customHeight="1" spans="1:16">
      <c r="A269" s="157" t="s">
        <v>1583</v>
      </c>
      <c r="B269" s="266" t="s">
        <v>1584</v>
      </c>
      <c r="C269" s="268"/>
      <c r="D269" s="268">
        <f t="shared" si="39"/>
        <v>0</v>
      </c>
      <c r="E269" s="268"/>
      <c r="F269" s="268"/>
      <c r="G269" s="268"/>
      <c r="H269" s="268"/>
      <c r="I269" s="268"/>
      <c r="J269" s="293"/>
      <c r="K269" s="276" t="s">
        <v>1087</v>
      </c>
      <c r="L269" s="33">
        <v>1</v>
      </c>
      <c r="M269" s="157" t="s">
        <v>1583</v>
      </c>
      <c r="N269" s="294"/>
      <c r="O269" s="157" t="s">
        <v>1575</v>
      </c>
      <c r="P269" s="289" t="s">
        <v>1585</v>
      </c>
    </row>
    <row r="270" s="93" customFormat="1" ht="20.1" customHeight="1" spans="1:16">
      <c r="A270" s="157" t="s">
        <v>1586</v>
      </c>
      <c r="B270" s="266" t="s">
        <v>1587</v>
      </c>
      <c r="C270" s="268"/>
      <c r="D270" s="268">
        <f t="shared" si="39"/>
        <v>0</v>
      </c>
      <c r="E270" s="268"/>
      <c r="F270" s="268"/>
      <c r="G270" s="268"/>
      <c r="H270" s="268"/>
      <c r="I270" s="268"/>
      <c r="J270" s="293"/>
      <c r="K270" s="276" t="s">
        <v>1087</v>
      </c>
      <c r="L270" s="33">
        <v>1</v>
      </c>
      <c r="M270" s="157" t="s">
        <v>1586</v>
      </c>
      <c r="N270" s="294"/>
      <c r="O270" s="157" t="s">
        <v>1575</v>
      </c>
      <c r="P270" s="289" t="s">
        <v>1588</v>
      </c>
    </row>
    <row r="271" s="93" customFormat="1" ht="20.1" customHeight="1" spans="1:16">
      <c r="A271" s="157" t="s">
        <v>1589</v>
      </c>
      <c r="B271" s="266" t="s">
        <v>1590</v>
      </c>
      <c r="C271" s="268"/>
      <c r="D271" s="268">
        <f t="shared" si="39"/>
        <v>0</v>
      </c>
      <c r="E271" s="268"/>
      <c r="F271" s="268"/>
      <c r="G271" s="268"/>
      <c r="H271" s="268"/>
      <c r="I271" s="268"/>
      <c r="J271" s="293"/>
      <c r="K271" s="276" t="s">
        <v>1087</v>
      </c>
      <c r="L271" s="33">
        <v>1</v>
      </c>
      <c r="M271" s="157" t="s">
        <v>1589</v>
      </c>
      <c r="N271" s="294"/>
      <c r="O271" s="157" t="s">
        <v>1575</v>
      </c>
      <c r="P271" s="289" t="s">
        <v>1591</v>
      </c>
    </row>
    <row r="272" s="93" customFormat="1" ht="20.1" customHeight="1" spans="1:16">
      <c r="A272" s="263" t="s">
        <v>486</v>
      </c>
      <c r="B272" s="264" t="s">
        <v>1592</v>
      </c>
      <c r="C272" s="265">
        <f t="shared" ref="C272:I272" si="48">SUM(C273:C276)</f>
        <v>0</v>
      </c>
      <c r="D272" s="265">
        <f t="shared" si="39"/>
        <v>0</v>
      </c>
      <c r="E272" s="265">
        <f t="shared" si="48"/>
        <v>0</v>
      </c>
      <c r="F272" s="265">
        <f t="shared" si="48"/>
        <v>0</v>
      </c>
      <c r="G272" s="265">
        <f t="shared" si="48"/>
        <v>0</v>
      </c>
      <c r="H272" s="265">
        <f t="shared" si="48"/>
        <v>0</v>
      </c>
      <c r="I272" s="265">
        <f t="shared" si="48"/>
        <v>0</v>
      </c>
      <c r="J272" s="283"/>
      <c r="K272" s="284" t="s">
        <v>1082</v>
      </c>
      <c r="L272" s="285"/>
      <c r="M272" s="263" t="s">
        <v>486</v>
      </c>
      <c r="N272" s="263" t="s">
        <v>485</v>
      </c>
      <c r="O272" s="263" t="s">
        <v>486</v>
      </c>
      <c r="P272" s="292" t="s">
        <v>1593</v>
      </c>
    </row>
    <row r="273" s="93" customFormat="1" ht="20.1" customHeight="1" spans="1:16">
      <c r="A273" s="157" t="s">
        <v>1594</v>
      </c>
      <c r="B273" s="269" t="s">
        <v>1595</v>
      </c>
      <c r="C273" s="268"/>
      <c r="D273" s="268">
        <f t="shared" si="39"/>
        <v>0</v>
      </c>
      <c r="E273" s="268"/>
      <c r="F273" s="268"/>
      <c r="G273" s="268"/>
      <c r="H273" s="268"/>
      <c r="I273" s="268"/>
      <c r="J273" s="293"/>
      <c r="K273" s="276" t="s">
        <v>1087</v>
      </c>
      <c r="L273" s="33">
        <v>1</v>
      </c>
      <c r="M273" s="157" t="s">
        <v>1594</v>
      </c>
      <c r="N273" s="294"/>
      <c r="O273" s="157" t="s">
        <v>486</v>
      </c>
      <c r="P273" s="290" t="s">
        <v>1596</v>
      </c>
    </row>
    <row r="274" s="93" customFormat="1" ht="20.1" customHeight="1" spans="1:16">
      <c r="A274" s="157" t="s">
        <v>1597</v>
      </c>
      <c r="B274" s="269" t="s">
        <v>1598</v>
      </c>
      <c r="C274" s="268"/>
      <c r="D274" s="268">
        <f t="shared" si="39"/>
        <v>0</v>
      </c>
      <c r="E274" s="268"/>
      <c r="F274" s="268"/>
      <c r="G274" s="268"/>
      <c r="H274" s="268"/>
      <c r="I274" s="268"/>
      <c r="J274" s="293"/>
      <c r="K274" s="276" t="s">
        <v>1087</v>
      </c>
      <c r="L274" s="33">
        <v>1</v>
      </c>
      <c r="M274" s="157" t="s">
        <v>1597</v>
      </c>
      <c r="N274" s="294"/>
      <c r="O274" s="157" t="s">
        <v>486</v>
      </c>
      <c r="P274" s="290" t="s">
        <v>1599</v>
      </c>
    </row>
    <row r="275" s="93" customFormat="1" ht="20.1" customHeight="1" spans="1:16">
      <c r="A275" s="157" t="s">
        <v>1600</v>
      </c>
      <c r="B275" s="266" t="s">
        <v>1601</v>
      </c>
      <c r="C275" s="268"/>
      <c r="D275" s="268">
        <f t="shared" si="39"/>
        <v>0</v>
      </c>
      <c r="E275" s="268"/>
      <c r="F275" s="268"/>
      <c r="G275" s="268"/>
      <c r="H275" s="268"/>
      <c r="I275" s="268"/>
      <c r="J275" s="293"/>
      <c r="K275" s="276" t="s">
        <v>1087</v>
      </c>
      <c r="L275" s="33">
        <v>1</v>
      </c>
      <c r="M275" s="157" t="s">
        <v>1600</v>
      </c>
      <c r="N275" s="294"/>
      <c r="O275" s="157" t="s">
        <v>486</v>
      </c>
      <c r="P275" s="289" t="s">
        <v>1602</v>
      </c>
    </row>
    <row r="276" s="93" customFormat="1" ht="20.1" customHeight="1" spans="1:16">
      <c r="A276" s="157" t="s">
        <v>1603</v>
      </c>
      <c r="B276" s="266" t="s">
        <v>1604</v>
      </c>
      <c r="C276" s="268"/>
      <c r="D276" s="268">
        <f t="shared" si="39"/>
        <v>0</v>
      </c>
      <c r="E276" s="268"/>
      <c r="F276" s="268"/>
      <c r="G276" s="268"/>
      <c r="H276" s="268"/>
      <c r="I276" s="268"/>
      <c r="J276" s="293"/>
      <c r="K276" s="276" t="s">
        <v>1087</v>
      </c>
      <c r="L276" s="33">
        <v>1</v>
      </c>
      <c r="M276" s="157" t="s">
        <v>1603</v>
      </c>
      <c r="N276" s="294"/>
      <c r="O276" s="157" t="s">
        <v>486</v>
      </c>
      <c r="P276" s="289" t="s">
        <v>1605</v>
      </c>
    </row>
    <row r="277" s="93" customFormat="1" ht="20.1" customHeight="1" spans="1:16">
      <c r="A277" s="263" t="s">
        <v>1606</v>
      </c>
      <c r="B277" s="264" t="s">
        <v>1607</v>
      </c>
      <c r="C277" s="265">
        <f t="shared" ref="C277:I277" si="49">SUM(C278:C278)</f>
        <v>0</v>
      </c>
      <c r="D277" s="265">
        <f t="shared" si="39"/>
        <v>0</v>
      </c>
      <c r="E277" s="265">
        <f t="shared" si="49"/>
        <v>0</v>
      </c>
      <c r="F277" s="265">
        <f t="shared" si="49"/>
        <v>0</v>
      </c>
      <c r="G277" s="265">
        <f t="shared" si="49"/>
        <v>0</v>
      </c>
      <c r="H277" s="265">
        <f t="shared" si="49"/>
        <v>0</v>
      </c>
      <c r="I277" s="265">
        <f t="shared" si="49"/>
        <v>0</v>
      </c>
      <c r="J277" s="283"/>
      <c r="K277" s="284" t="s">
        <v>1082</v>
      </c>
      <c r="L277" s="285"/>
      <c r="M277" s="263" t="s">
        <v>1606</v>
      </c>
      <c r="N277" s="263" t="s">
        <v>485</v>
      </c>
      <c r="O277" s="263" t="s">
        <v>1606</v>
      </c>
      <c r="P277" s="292" t="s">
        <v>1608</v>
      </c>
    </row>
    <row r="278" s="93" customFormat="1" ht="20.1" customHeight="1" spans="1:16">
      <c r="A278" s="157" t="s">
        <v>1609</v>
      </c>
      <c r="B278" s="269" t="s">
        <v>1610</v>
      </c>
      <c r="C278" s="268"/>
      <c r="D278" s="268">
        <f t="shared" si="39"/>
        <v>0</v>
      </c>
      <c r="E278" s="268"/>
      <c r="F278" s="268"/>
      <c r="G278" s="268"/>
      <c r="H278" s="268"/>
      <c r="I278" s="268"/>
      <c r="J278" s="293"/>
      <c r="K278" s="276" t="s">
        <v>1087</v>
      </c>
      <c r="L278" s="33">
        <v>1</v>
      </c>
      <c r="M278" s="157" t="s">
        <v>1609</v>
      </c>
      <c r="N278" s="294"/>
      <c r="O278" s="157" t="s">
        <v>1606</v>
      </c>
      <c r="P278" s="290" t="s">
        <v>1608</v>
      </c>
    </row>
    <row r="279" s="93" customFormat="1" ht="20.1" customHeight="1" spans="1:16">
      <c r="A279" s="263" t="s">
        <v>1611</v>
      </c>
      <c r="B279" s="264" t="s">
        <v>1612</v>
      </c>
      <c r="C279" s="265">
        <f t="shared" ref="C279:I279" si="50">SUM(C280:C283)</f>
        <v>0</v>
      </c>
      <c r="D279" s="265">
        <f t="shared" si="39"/>
        <v>0</v>
      </c>
      <c r="E279" s="265">
        <f t="shared" si="50"/>
        <v>0</v>
      </c>
      <c r="F279" s="265">
        <f t="shared" si="50"/>
        <v>0</v>
      </c>
      <c r="G279" s="265">
        <f t="shared" si="50"/>
        <v>0</v>
      </c>
      <c r="H279" s="265">
        <f t="shared" si="50"/>
        <v>0</v>
      </c>
      <c r="I279" s="265">
        <f t="shared" si="50"/>
        <v>0</v>
      </c>
      <c r="J279" s="283"/>
      <c r="K279" s="284" t="s">
        <v>1082</v>
      </c>
      <c r="L279" s="285"/>
      <c r="M279" s="263" t="s">
        <v>1611</v>
      </c>
      <c r="N279" s="263" t="s">
        <v>485</v>
      </c>
      <c r="O279" s="263" t="s">
        <v>1611</v>
      </c>
      <c r="P279" s="292" t="s">
        <v>1613</v>
      </c>
    </row>
    <row r="280" s="93" customFormat="1" ht="20.1" customHeight="1" spans="1:16">
      <c r="A280" s="157" t="s">
        <v>1614</v>
      </c>
      <c r="B280" s="269" t="s">
        <v>1615</v>
      </c>
      <c r="C280" s="268"/>
      <c r="D280" s="268">
        <f t="shared" si="39"/>
        <v>0</v>
      </c>
      <c r="E280" s="268"/>
      <c r="F280" s="268"/>
      <c r="G280" s="268"/>
      <c r="H280" s="268"/>
      <c r="I280" s="268"/>
      <c r="J280" s="293"/>
      <c r="K280" s="276" t="s">
        <v>1087</v>
      </c>
      <c r="L280" s="33">
        <v>1</v>
      </c>
      <c r="M280" s="157" t="s">
        <v>1614</v>
      </c>
      <c r="N280" s="294"/>
      <c r="O280" s="157" t="s">
        <v>1611</v>
      </c>
      <c r="P280" s="290" t="s">
        <v>1616</v>
      </c>
    </row>
    <row r="281" s="93" customFormat="1" ht="20.1" customHeight="1" spans="1:16">
      <c r="A281" s="157" t="s">
        <v>1617</v>
      </c>
      <c r="B281" s="269" t="s">
        <v>1618</v>
      </c>
      <c r="C281" s="268"/>
      <c r="D281" s="268">
        <f t="shared" si="39"/>
        <v>0</v>
      </c>
      <c r="E281" s="268"/>
      <c r="F281" s="268"/>
      <c r="G281" s="268"/>
      <c r="H281" s="268"/>
      <c r="I281" s="268"/>
      <c r="J281" s="293"/>
      <c r="K281" s="276" t="s">
        <v>1087</v>
      </c>
      <c r="L281" s="33">
        <v>1</v>
      </c>
      <c r="M281" s="157" t="s">
        <v>1617</v>
      </c>
      <c r="N281" s="294"/>
      <c r="O281" s="157" t="s">
        <v>1611</v>
      </c>
      <c r="P281" s="290" t="s">
        <v>1619</v>
      </c>
    </row>
    <row r="282" s="93" customFormat="1" ht="20.1" customHeight="1" spans="1:16">
      <c r="A282" s="157" t="s">
        <v>1620</v>
      </c>
      <c r="B282" s="266" t="s">
        <v>1621</v>
      </c>
      <c r="C282" s="268"/>
      <c r="D282" s="268">
        <f t="shared" si="39"/>
        <v>0</v>
      </c>
      <c r="E282" s="268"/>
      <c r="F282" s="268"/>
      <c r="G282" s="268"/>
      <c r="H282" s="268"/>
      <c r="I282" s="268"/>
      <c r="J282" s="293"/>
      <c r="K282" s="276" t="s">
        <v>1087</v>
      </c>
      <c r="L282" s="33">
        <v>1</v>
      </c>
      <c r="M282" s="157" t="s">
        <v>1620</v>
      </c>
      <c r="N282" s="294"/>
      <c r="O282" s="157" t="s">
        <v>1611</v>
      </c>
      <c r="P282" s="289" t="s">
        <v>1622</v>
      </c>
    </row>
    <row r="283" s="93" customFormat="1" ht="20.1" customHeight="1" spans="1:16">
      <c r="A283" s="157" t="s">
        <v>1623</v>
      </c>
      <c r="B283" s="266" t="s">
        <v>189</v>
      </c>
      <c r="C283" s="268"/>
      <c r="D283" s="268">
        <f t="shared" si="39"/>
        <v>0</v>
      </c>
      <c r="E283" s="268"/>
      <c r="F283" s="268"/>
      <c r="G283" s="268"/>
      <c r="H283" s="268"/>
      <c r="I283" s="268"/>
      <c r="J283" s="293"/>
      <c r="K283" s="276" t="s">
        <v>1087</v>
      </c>
      <c r="L283" s="33">
        <v>1</v>
      </c>
      <c r="M283" s="157" t="s">
        <v>1623</v>
      </c>
      <c r="N283" s="294"/>
      <c r="O283" s="157" t="s">
        <v>1611</v>
      </c>
      <c r="P283" s="289" t="s">
        <v>1624</v>
      </c>
    </row>
    <row r="284" s="93" customFormat="1" ht="20.1" customHeight="1" spans="1:16">
      <c r="A284" s="263" t="s">
        <v>1625</v>
      </c>
      <c r="B284" s="264" t="s">
        <v>1626</v>
      </c>
      <c r="C284" s="265">
        <f t="shared" ref="C284:I284" si="51">SUM(C285:C289)</f>
        <v>0</v>
      </c>
      <c r="D284" s="265">
        <f t="shared" si="39"/>
        <v>0</v>
      </c>
      <c r="E284" s="265">
        <f t="shared" si="51"/>
        <v>0</v>
      </c>
      <c r="F284" s="265">
        <f t="shared" si="51"/>
        <v>0</v>
      </c>
      <c r="G284" s="265">
        <f t="shared" si="51"/>
        <v>0</v>
      </c>
      <c r="H284" s="265">
        <f t="shared" si="51"/>
        <v>0</v>
      </c>
      <c r="I284" s="265">
        <f t="shared" si="51"/>
        <v>0</v>
      </c>
      <c r="J284" s="283"/>
      <c r="K284" s="284" t="s">
        <v>1082</v>
      </c>
      <c r="L284" s="285"/>
      <c r="M284" s="263" t="s">
        <v>1625</v>
      </c>
      <c r="N284" s="263" t="s">
        <v>485</v>
      </c>
      <c r="O284" s="263" t="s">
        <v>1625</v>
      </c>
      <c r="P284" s="292" t="s">
        <v>1627</v>
      </c>
    </row>
    <row r="285" s="93" customFormat="1" ht="20.1" customHeight="1" spans="1:16">
      <c r="A285" s="157" t="s">
        <v>1628</v>
      </c>
      <c r="B285" s="269" t="s">
        <v>1086</v>
      </c>
      <c r="C285" s="268"/>
      <c r="D285" s="268">
        <f t="shared" si="39"/>
        <v>0</v>
      </c>
      <c r="E285" s="268"/>
      <c r="F285" s="268"/>
      <c r="G285" s="268"/>
      <c r="H285" s="268"/>
      <c r="I285" s="268"/>
      <c r="J285" s="293"/>
      <c r="K285" s="276" t="s">
        <v>1087</v>
      </c>
      <c r="L285" s="33">
        <v>1</v>
      </c>
      <c r="M285" s="157" t="s">
        <v>1628</v>
      </c>
      <c r="N285" s="294"/>
      <c r="O285" s="157" t="s">
        <v>1625</v>
      </c>
      <c r="P285" s="290" t="s">
        <v>1088</v>
      </c>
    </row>
    <row r="286" s="93" customFormat="1" ht="20.1" customHeight="1" spans="1:16">
      <c r="A286" s="157" t="s">
        <v>1629</v>
      </c>
      <c r="B286" s="269" t="s">
        <v>1090</v>
      </c>
      <c r="C286" s="268"/>
      <c r="D286" s="268">
        <f t="shared" si="39"/>
        <v>0</v>
      </c>
      <c r="E286" s="268"/>
      <c r="F286" s="268"/>
      <c r="G286" s="268"/>
      <c r="H286" s="268"/>
      <c r="I286" s="268"/>
      <c r="J286" s="293"/>
      <c r="K286" s="276" t="s">
        <v>1087</v>
      </c>
      <c r="L286" s="33">
        <v>1</v>
      </c>
      <c r="M286" s="157" t="s">
        <v>1629</v>
      </c>
      <c r="N286" s="294"/>
      <c r="O286" s="157" t="s">
        <v>1625</v>
      </c>
      <c r="P286" s="290" t="s">
        <v>1091</v>
      </c>
    </row>
    <row r="287" s="93" customFormat="1" ht="20.1" customHeight="1" spans="1:16">
      <c r="A287" s="157" t="s">
        <v>1630</v>
      </c>
      <c r="B287" s="266" t="s">
        <v>1093</v>
      </c>
      <c r="C287" s="268"/>
      <c r="D287" s="268">
        <f t="shared" si="39"/>
        <v>0</v>
      </c>
      <c r="E287" s="268"/>
      <c r="F287" s="268"/>
      <c r="G287" s="268"/>
      <c r="H287" s="268"/>
      <c r="I287" s="268"/>
      <c r="J287" s="293"/>
      <c r="K287" s="276" t="s">
        <v>1087</v>
      </c>
      <c r="L287" s="33">
        <v>1</v>
      </c>
      <c r="M287" s="157" t="s">
        <v>1630</v>
      </c>
      <c r="N287" s="294"/>
      <c r="O287" s="157" t="s">
        <v>1625</v>
      </c>
      <c r="P287" s="289" t="s">
        <v>1094</v>
      </c>
    </row>
    <row r="288" s="93" customFormat="1" ht="20.1" customHeight="1" spans="1:16">
      <c r="A288" s="157" t="s">
        <v>1631</v>
      </c>
      <c r="B288" s="266" t="s">
        <v>1114</v>
      </c>
      <c r="C288" s="268"/>
      <c r="D288" s="268">
        <f t="shared" si="39"/>
        <v>0</v>
      </c>
      <c r="E288" s="268"/>
      <c r="F288" s="268"/>
      <c r="G288" s="268"/>
      <c r="H288" s="268"/>
      <c r="I288" s="268"/>
      <c r="J288" s="293"/>
      <c r="K288" s="276" t="s">
        <v>1087</v>
      </c>
      <c r="L288" s="33">
        <v>1</v>
      </c>
      <c r="M288" s="157" t="s">
        <v>1631</v>
      </c>
      <c r="N288" s="294"/>
      <c r="O288" s="157" t="s">
        <v>1625</v>
      </c>
      <c r="P288" s="289" t="s">
        <v>1115</v>
      </c>
    </row>
    <row r="289" s="93" customFormat="1" ht="20.1" customHeight="1" spans="1:16">
      <c r="A289" s="157" t="s">
        <v>1632</v>
      </c>
      <c r="B289" s="266" t="s">
        <v>1633</v>
      </c>
      <c r="C289" s="268"/>
      <c r="D289" s="268">
        <f t="shared" si="39"/>
        <v>0</v>
      </c>
      <c r="E289" s="268"/>
      <c r="F289" s="268"/>
      <c r="G289" s="268"/>
      <c r="H289" s="268"/>
      <c r="I289" s="268"/>
      <c r="J289" s="293"/>
      <c r="K289" s="276" t="s">
        <v>1087</v>
      </c>
      <c r="L289" s="33">
        <v>1</v>
      </c>
      <c r="M289" s="157" t="s">
        <v>1632</v>
      </c>
      <c r="N289" s="294"/>
      <c r="O289" s="157" t="s">
        <v>1625</v>
      </c>
      <c r="P289" s="289" t="s">
        <v>1634</v>
      </c>
    </row>
    <row r="290" s="93" customFormat="1" ht="20.1" customHeight="1" spans="1:16">
      <c r="A290" s="263" t="s">
        <v>487</v>
      </c>
      <c r="B290" s="264" t="s">
        <v>1635</v>
      </c>
      <c r="C290" s="265">
        <f t="shared" ref="C290:I290" si="52">SUM(C291:C291)</f>
        <v>0</v>
      </c>
      <c r="D290" s="265">
        <f t="shared" si="39"/>
        <v>0</v>
      </c>
      <c r="E290" s="265">
        <f t="shared" si="52"/>
        <v>0</v>
      </c>
      <c r="F290" s="265">
        <f t="shared" si="52"/>
        <v>0</v>
      </c>
      <c r="G290" s="265">
        <f t="shared" si="52"/>
        <v>0</v>
      </c>
      <c r="H290" s="265">
        <f t="shared" si="52"/>
        <v>0</v>
      </c>
      <c r="I290" s="265">
        <f t="shared" si="52"/>
        <v>0</v>
      </c>
      <c r="J290" s="283"/>
      <c r="K290" s="284" t="s">
        <v>1082</v>
      </c>
      <c r="L290" s="285"/>
      <c r="M290" s="263" t="s">
        <v>487</v>
      </c>
      <c r="N290" s="263" t="s">
        <v>485</v>
      </c>
      <c r="O290" s="263" t="s">
        <v>487</v>
      </c>
      <c r="P290" s="292" t="s">
        <v>1636</v>
      </c>
    </row>
    <row r="291" s="93" customFormat="1" ht="20.1" customHeight="1" spans="1:16">
      <c r="A291" s="157" t="s">
        <v>1637</v>
      </c>
      <c r="B291" s="269" t="s">
        <v>1638</v>
      </c>
      <c r="C291" s="268"/>
      <c r="D291" s="268">
        <f t="shared" si="39"/>
        <v>0</v>
      </c>
      <c r="E291" s="268"/>
      <c r="F291" s="268"/>
      <c r="G291" s="268"/>
      <c r="H291" s="268"/>
      <c r="I291" s="268"/>
      <c r="J291" s="293"/>
      <c r="K291" s="276" t="s">
        <v>1087</v>
      </c>
      <c r="L291" s="33">
        <v>1</v>
      </c>
      <c r="M291" s="157" t="s">
        <v>1637</v>
      </c>
      <c r="N291" s="294"/>
      <c r="O291" s="157" t="s">
        <v>487</v>
      </c>
      <c r="P291" s="290" t="s">
        <v>1636</v>
      </c>
    </row>
    <row r="292" s="93" customFormat="1" ht="20.1" customHeight="1" spans="1:16">
      <c r="A292" s="154" t="s">
        <v>488</v>
      </c>
      <c r="B292" s="261" t="s">
        <v>254</v>
      </c>
      <c r="C292" s="262">
        <f t="shared" ref="C292:I292" si="53">C293+C297+C299+C301+C309</f>
        <v>327</v>
      </c>
      <c r="D292" s="262">
        <f t="shared" si="39"/>
        <v>20</v>
      </c>
      <c r="E292" s="262">
        <f t="shared" si="53"/>
        <v>0</v>
      </c>
      <c r="F292" s="262">
        <f t="shared" si="53"/>
        <v>0</v>
      </c>
      <c r="G292" s="262">
        <f t="shared" si="53"/>
        <v>0</v>
      </c>
      <c r="H292" s="262">
        <f t="shared" si="53"/>
        <v>0</v>
      </c>
      <c r="I292" s="262">
        <f t="shared" si="53"/>
        <v>20</v>
      </c>
      <c r="J292" s="279">
        <f t="shared" ref="J292:J296" si="54">ROUND(IF(C292=0,IF(D292=0,0,1),IF(D292=0,-1,D292/C292)),4)*100</f>
        <v>6.12</v>
      </c>
      <c r="K292" s="280" t="s">
        <v>1081</v>
      </c>
      <c r="L292" s="281"/>
      <c r="M292" s="154" t="s">
        <v>488</v>
      </c>
      <c r="N292" s="154" t="s">
        <v>488</v>
      </c>
      <c r="O292" s="154" t="s">
        <v>488</v>
      </c>
      <c r="P292" s="282" t="s">
        <v>1639</v>
      </c>
    </row>
    <row r="293" s="93" customFormat="1" ht="20.1" customHeight="1" spans="1:16">
      <c r="A293" s="263" t="s">
        <v>1640</v>
      </c>
      <c r="B293" s="264" t="s">
        <v>1641</v>
      </c>
      <c r="C293" s="265">
        <f t="shared" ref="C293:I293" si="55">SUM(C294:C296)</f>
        <v>0</v>
      </c>
      <c r="D293" s="265">
        <f t="shared" si="39"/>
        <v>0</v>
      </c>
      <c r="E293" s="265">
        <f t="shared" si="55"/>
        <v>0</v>
      </c>
      <c r="F293" s="265">
        <f t="shared" si="55"/>
        <v>0</v>
      </c>
      <c r="G293" s="265">
        <f t="shared" si="55"/>
        <v>0</v>
      </c>
      <c r="H293" s="265">
        <f t="shared" si="55"/>
        <v>0</v>
      </c>
      <c r="I293" s="265">
        <f t="shared" si="55"/>
        <v>0</v>
      </c>
      <c r="J293" s="283">
        <f t="shared" si="54"/>
        <v>0</v>
      </c>
      <c r="K293" s="284" t="s">
        <v>1082</v>
      </c>
      <c r="L293" s="285"/>
      <c r="M293" s="263" t="s">
        <v>1640</v>
      </c>
      <c r="N293" s="263" t="s">
        <v>488</v>
      </c>
      <c r="O293" s="263" t="s">
        <v>1640</v>
      </c>
      <c r="P293" s="286" t="s">
        <v>1642</v>
      </c>
    </row>
    <row r="294" s="92" customFormat="1" ht="20.1" customHeight="1" spans="1:16">
      <c r="A294" s="157" t="s">
        <v>1643</v>
      </c>
      <c r="B294" s="269" t="s">
        <v>1644</v>
      </c>
      <c r="C294" s="267"/>
      <c r="D294" s="268">
        <f t="shared" si="39"/>
        <v>0</v>
      </c>
      <c r="E294" s="267"/>
      <c r="F294" s="267"/>
      <c r="G294" s="267"/>
      <c r="H294" s="267"/>
      <c r="I294" s="287"/>
      <c r="J294" s="288">
        <f t="shared" si="54"/>
        <v>0</v>
      </c>
      <c r="K294" s="276" t="s">
        <v>1087</v>
      </c>
      <c r="L294" s="33">
        <v>1</v>
      </c>
      <c r="M294" s="157" t="s">
        <v>1643</v>
      </c>
      <c r="N294" s="157"/>
      <c r="O294" s="157" t="s">
        <v>1640</v>
      </c>
      <c r="P294" s="290" t="s">
        <v>1645</v>
      </c>
    </row>
    <row r="295" s="92" customFormat="1" ht="20.1" customHeight="1" spans="1:16">
      <c r="A295" s="157" t="s">
        <v>1646</v>
      </c>
      <c r="B295" s="266" t="s">
        <v>1647</v>
      </c>
      <c r="C295" s="267">
        <v>0</v>
      </c>
      <c r="D295" s="268">
        <f t="shared" si="39"/>
        <v>0</v>
      </c>
      <c r="E295" s="267"/>
      <c r="F295" s="267"/>
      <c r="G295" s="267"/>
      <c r="H295" s="267"/>
      <c r="I295" s="287"/>
      <c r="J295" s="288">
        <f t="shared" si="54"/>
        <v>0</v>
      </c>
      <c r="K295" s="276" t="s">
        <v>1087</v>
      </c>
      <c r="L295" s="33">
        <v>1</v>
      </c>
      <c r="M295" s="157" t="s">
        <v>1646</v>
      </c>
      <c r="N295" s="157"/>
      <c r="O295" s="157" t="s">
        <v>1640</v>
      </c>
      <c r="P295" s="289" t="s">
        <v>1648</v>
      </c>
    </row>
    <row r="296" s="92" customFormat="1" ht="20.1" customHeight="1" spans="1:16">
      <c r="A296" s="157" t="s">
        <v>1649</v>
      </c>
      <c r="B296" s="266" t="s">
        <v>1650</v>
      </c>
      <c r="C296" s="267"/>
      <c r="D296" s="268">
        <f t="shared" si="39"/>
        <v>0</v>
      </c>
      <c r="E296" s="267"/>
      <c r="F296" s="267"/>
      <c r="G296" s="267"/>
      <c r="H296" s="267"/>
      <c r="I296" s="287"/>
      <c r="J296" s="288">
        <f t="shared" si="54"/>
        <v>0</v>
      </c>
      <c r="K296" s="276" t="s">
        <v>1087</v>
      </c>
      <c r="L296" s="33">
        <v>1</v>
      </c>
      <c r="M296" s="157" t="s">
        <v>1649</v>
      </c>
      <c r="N296" s="157"/>
      <c r="O296" s="157" t="s">
        <v>1640</v>
      </c>
      <c r="P296" s="289" t="s">
        <v>1651</v>
      </c>
    </row>
    <row r="297" s="93" customFormat="1" ht="20.1" customHeight="1" spans="1:16">
      <c r="A297" s="263" t="s">
        <v>1652</v>
      </c>
      <c r="B297" s="264" t="s">
        <v>1653</v>
      </c>
      <c r="C297" s="265">
        <f t="shared" ref="C297:I297" si="56">SUM(C298:C298)</f>
        <v>0</v>
      </c>
      <c r="D297" s="265">
        <f t="shared" si="39"/>
        <v>0</v>
      </c>
      <c r="E297" s="265">
        <f t="shared" si="56"/>
        <v>0</v>
      </c>
      <c r="F297" s="265">
        <f t="shared" si="56"/>
        <v>0</v>
      </c>
      <c r="G297" s="265">
        <f t="shared" si="56"/>
        <v>0</v>
      </c>
      <c r="H297" s="265">
        <f t="shared" si="56"/>
        <v>0</v>
      </c>
      <c r="I297" s="265">
        <f t="shared" si="56"/>
        <v>0</v>
      </c>
      <c r="J297" s="283"/>
      <c r="K297" s="284" t="s">
        <v>1082</v>
      </c>
      <c r="L297" s="285"/>
      <c r="M297" s="263" t="s">
        <v>1654</v>
      </c>
      <c r="N297" s="263" t="s">
        <v>488</v>
      </c>
      <c r="O297" s="263" t="s">
        <v>1654</v>
      </c>
      <c r="P297" s="292" t="s">
        <v>1655</v>
      </c>
    </row>
    <row r="298" s="93" customFormat="1" ht="20.1" customHeight="1" spans="1:16">
      <c r="A298" s="157" t="s">
        <v>1652</v>
      </c>
      <c r="B298" s="269" t="s">
        <v>1656</v>
      </c>
      <c r="C298" s="268"/>
      <c r="D298" s="268">
        <f t="shared" si="39"/>
        <v>0</v>
      </c>
      <c r="E298" s="268"/>
      <c r="F298" s="268"/>
      <c r="G298" s="268"/>
      <c r="H298" s="268"/>
      <c r="I298" s="268"/>
      <c r="J298" s="293"/>
      <c r="K298" s="276" t="s">
        <v>1087</v>
      </c>
      <c r="L298" s="33">
        <v>1</v>
      </c>
      <c r="M298" s="157" t="s">
        <v>1652</v>
      </c>
      <c r="N298" s="294"/>
      <c r="O298" s="157" t="s">
        <v>1654</v>
      </c>
      <c r="P298" s="290" t="s">
        <v>1655</v>
      </c>
    </row>
    <row r="299" s="93" customFormat="1" ht="20.1" customHeight="1" spans="1:16">
      <c r="A299" s="263" t="s">
        <v>1657</v>
      </c>
      <c r="B299" s="264" t="s">
        <v>1658</v>
      </c>
      <c r="C299" s="265">
        <f t="shared" ref="C299:I299" si="57">SUM(C300:C300)</f>
        <v>0</v>
      </c>
      <c r="D299" s="265">
        <f t="shared" si="39"/>
        <v>0</v>
      </c>
      <c r="E299" s="265">
        <f t="shared" si="57"/>
        <v>0</v>
      </c>
      <c r="F299" s="265">
        <f t="shared" si="57"/>
        <v>0</v>
      </c>
      <c r="G299" s="265">
        <f t="shared" si="57"/>
        <v>0</v>
      </c>
      <c r="H299" s="265">
        <f t="shared" si="57"/>
        <v>0</v>
      </c>
      <c r="I299" s="265">
        <f t="shared" si="57"/>
        <v>0</v>
      </c>
      <c r="J299" s="283"/>
      <c r="K299" s="284" t="s">
        <v>1082</v>
      </c>
      <c r="L299" s="285"/>
      <c r="M299" s="263" t="s">
        <v>1657</v>
      </c>
      <c r="N299" s="263" t="s">
        <v>488</v>
      </c>
      <c r="O299" s="263" t="s">
        <v>1657</v>
      </c>
      <c r="P299" s="292" t="s">
        <v>1659</v>
      </c>
    </row>
    <row r="300" s="93" customFormat="1" ht="20.1" customHeight="1" spans="1:16">
      <c r="A300" s="157" t="s">
        <v>1660</v>
      </c>
      <c r="B300" s="269" t="s">
        <v>1661</v>
      </c>
      <c r="C300" s="268"/>
      <c r="D300" s="268">
        <f t="shared" si="39"/>
        <v>0</v>
      </c>
      <c r="E300" s="268"/>
      <c r="F300" s="268"/>
      <c r="G300" s="268"/>
      <c r="H300" s="268"/>
      <c r="I300" s="268"/>
      <c r="J300" s="293"/>
      <c r="K300" s="276" t="s">
        <v>1087</v>
      </c>
      <c r="L300" s="33">
        <v>1</v>
      </c>
      <c r="M300" s="157" t="s">
        <v>1660</v>
      </c>
      <c r="N300" s="294"/>
      <c r="O300" s="157" t="s">
        <v>1657</v>
      </c>
      <c r="P300" s="290" t="s">
        <v>1659</v>
      </c>
    </row>
    <row r="301" s="93" customFormat="1" ht="20.1" customHeight="1" spans="1:16">
      <c r="A301" s="263" t="s">
        <v>489</v>
      </c>
      <c r="B301" s="264" t="s">
        <v>255</v>
      </c>
      <c r="C301" s="265">
        <f t="shared" ref="C301:I301" si="58">SUM(C302:C308)</f>
        <v>308</v>
      </c>
      <c r="D301" s="265">
        <f t="shared" si="39"/>
        <v>20</v>
      </c>
      <c r="E301" s="265">
        <f t="shared" si="58"/>
        <v>0</v>
      </c>
      <c r="F301" s="265">
        <f t="shared" si="58"/>
        <v>0</v>
      </c>
      <c r="G301" s="265">
        <f t="shared" si="58"/>
        <v>0</v>
      </c>
      <c r="H301" s="265">
        <f t="shared" si="58"/>
        <v>0</v>
      </c>
      <c r="I301" s="265">
        <f t="shared" si="58"/>
        <v>20</v>
      </c>
      <c r="J301" s="283">
        <f t="shared" ref="J301:J309" si="59">ROUND(IF(C301=0,IF(D301=0,0,1),IF(D301=0,-1,D301/C301)),4)*100</f>
        <v>6.49</v>
      </c>
      <c r="K301" s="284" t="s">
        <v>1082</v>
      </c>
      <c r="L301" s="285"/>
      <c r="M301" s="263" t="s">
        <v>489</v>
      </c>
      <c r="N301" s="263" t="s">
        <v>488</v>
      </c>
      <c r="O301" s="263" t="s">
        <v>489</v>
      </c>
      <c r="P301" s="286" t="s">
        <v>1642</v>
      </c>
    </row>
    <row r="302" s="92" customFormat="1" ht="20.1" customHeight="1" spans="1:16">
      <c r="A302" s="157" t="s">
        <v>1662</v>
      </c>
      <c r="B302" s="269" t="s">
        <v>1663</v>
      </c>
      <c r="C302" s="267">
        <v>85</v>
      </c>
      <c r="D302" s="268">
        <f t="shared" si="39"/>
        <v>13</v>
      </c>
      <c r="E302" s="267"/>
      <c r="F302" s="267"/>
      <c r="G302" s="267"/>
      <c r="H302" s="267"/>
      <c r="I302" s="287">
        <v>13</v>
      </c>
      <c r="J302" s="288">
        <f t="shared" si="59"/>
        <v>15.29</v>
      </c>
      <c r="K302" s="276" t="s">
        <v>1087</v>
      </c>
      <c r="L302" s="33">
        <v>1</v>
      </c>
      <c r="M302" s="157" t="s">
        <v>1662</v>
      </c>
      <c r="N302" s="157"/>
      <c r="O302" s="157" t="s">
        <v>489</v>
      </c>
      <c r="P302" s="163" t="s">
        <v>1664</v>
      </c>
    </row>
    <row r="303" s="92" customFormat="1" ht="20.1" customHeight="1" spans="1:16">
      <c r="A303" s="157" t="s">
        <v>1665</v>
      </c>
      <c r="B303" s="266" t="s">
        <v>1666</v>
      </c>
      <c r="C303" s="267"/>
      <c r="D303" s="268">
        <f t="shared" si="39"/>
        <v>0</v>
      </c>
      <c r="E303" s="267"/>
      <c r="F303" s="267"/>
      <c r="G303" s="267"/>
      <c r="H303" s="267"/>
      <c r="I303" s="287"/>
      <c r="J303" s="288">
        <f t="shared" si="59"/>
        <v>0</v>
      </c>
      <c r="K303" s="276" t="s">
        <v>1087</v>
      </c>
      <c r="L303" s="33">
        <v>1</v>
      </c>
      <c r="M303" s="157" t="s">
        <v>1665</v>
      </c>
      <c r="N303" s="157"/>
      <c r="O303" s="157" t="s">
        <v>489</v>
      </c>
      <c r="P303" s="163" t="s">
        <v>1667</v>
      </c>
    </row>
    <row r="304" s="92" customFormat="1" ht="20.1" customHeight="1" spans="1:16">
      <c r="A304" s="157" t="s">
        <v>1668</v>
      </c>
      <c r="B304" s="266" t="s">
        <v>1669</v>
      </c>
      <c r="C304" s="267">
        <v>50</v>
      </c>
      <c r="D304" s="268">
        <f t="shared" si="39"/>
        <v>1</v>
      </c>
      <c r="E304" s="267"/>
      <c r="F304" s="267"/>
      <c r="G304" s="267"/>
      <c r="H304" s="267"/>
      <c r="I304" s="287">
        <v>1</v>
      </c>
      <c r="J304" s="288">
        <f t="shared" si="59"/>
        <v>2</v>
      </c>
      <c r="K304" s="276" t="s">
        <v>1087</v>
      </c>
      <c r="L304" s="33">
        <v>1</v>
      </c>
      <c r="M304" s="157" t="s">
        <v>1668</v>
      </c>
      <c r="N304" s="157"/>
      <c r="O304" s="157" t="s">
        <v>489</v>
      </c>
      <c r="P304" s="163" t="s">
        <v>1670</v>
      </c>
    </row>
    <row r="305" s="92" customFormat="1" ht="20.1" customHeight="1" spans="1:16">
      <c r="A305" s="157" t="s">
        <v>1671</v>
      </c>
      <c r="B305" s="266" t="s">
        <v>1672</v>
      </c>
      <c r="C305" s="267"/>
      <c r="D305" s="268">
        <f t="shared" si="39"/>
        <v>0</v>
      </c>
      <c r="E305" s="267"/>
      <c r="F305" s="267"/>
      <c r="G305" s="267"/>
      <c r="H305" s="267"/>
      <c r="I305" s="287"/>
      <c r="J305" s="288">
        <f t="shared" si="59"/>
        <v>0</v>
      </c>
      <c r="K305" s="276" t="s">
        <v>1087</v>
      </c>
      <c r="L305" s="33">
        <v>1</v>
      </c>
      <c r="M305" s="157" t="s">
        <v>1671</v>
      </c>
      <c r="N305" s="157"/>
      <c r="O305" s="157" t="s">
        <v>489</v>
      </c>
      <c r="P305" s="163" t="s">
        <v>1673</v>
      </c>
    </row>
    <row r="306" s="92" customFormat="1" ht="20.1" customHeight="1" spans="1:16">
      <c r="A306" s="157" t="s">
        <v>1674</v>
      </c>
      <c r="B306" s="269" t="s">
        <v>1675</v>
      </c>
      <c r="C306" s="267">
        <v>173</v>
      </c>
      <c r="D306" s="268">
        <f t="shared" ref="D306:D321" si="60">SUM(E306:I306)</f>
        <v>6</v>
      </c>
      <c r="E306" s="267"/>
      <c r="F306" s="267"/>
      <c r="G306" s="267"/>
      <c r="H306" s="267"/>
      <c r="I306" s="287">
        <v>6</v>
      </c>
      <c r="J306" s="288">
        <f t="shared" si="59"/>
        <v>3.47</v>
      </c>
      <c r="K306" s="276" t="s">
        <v>1087</v>
      </c>
      <c r="L306" s="33">
        <v>1</v>
      </c>
      <c r="M306" s="157" t="s">
        <v>1674</v>
      </c>
      <c r="N306" s="157"/>
      <c r="O306" s="157" t="s">
        <v>489</v>
      </c>
      <c r="P306" s="163" t="s">
        <v>1676</v>
      </c>
    </row>
    <row r="307" s="92" customFormat="1" ht="20.1" customHeight="1" spans="1:16">
      <c r="A307" s="157" t="s">
        <v>1677</v>
      </c>
      <c r="B307" s="269" t="s">
        <v>1678</v>
      </c>
      <c r="C307" s="267"/>
      <c r="D307" s="268">
        <f t="shared" si="60"/>
        <v>0</v>
      </c>
      <c r="E307" s="267"/>
      <c r="F307" s="267"/>
      <c r="G307" s="267"/>
      <c r="H307" s="267"/>
      <c r="I307" s="287"/>
      <c r="J307" s="288">
        <f t="shared" si="59"/>
        <v>0</v>
      </c>
      <c r="K307" s="276" t="s">
        <v>1087</v>
      </c>
      <c r="L307" s="33">
        <v>1</v>
      </c>
      <c r="M307" s="157" t="s">
        <v>1677</v>
      </c>
      <c r="N307" s="157"/>
      <c r="O307" s="157" t="s">
        <v>489</v>
      </c>
      <c r="P307" s="163" t="s">
        <v>1679</v>
      </c>
    </row>
    <row r="308" s="92" customFormat="1" ht="20.1" customHeight="1" spans="1:16">
      <c r="A308" s="157" t="s">
        <v>1680</v>
      </c>
      <c r="B308" s="269" t="s">
        <v>1681</v>
      </c>
      <c r="C308" s="267"/>
      <c r="D308" s="268">
        <f t="shared" si="60"/>
        <v>0</v>
      </c>
      <c r="E308" s="267"/>
      <c r="F308" s="267"/>
      <c r="G308" s="267"/>
      <c r="H308" s="267"/>
      <c r="I308" s="287"/>
      <c r="J308" s="288">
        <f t="shared" si="59"/>
        <v>0</v>
      </c>
      <c r="K308" s="276" t="s">
        <v>1087</v>
      </c>
      <c r="L308" s="33">
        <v>1</v>
      </c>
      <c r="M308" s="157" t="s">
        <v>1680</v>
      </c>
      <c r="N308" s="157"/>
      <c r="O308" s="157" t="s">
        <v>489</v>
      </c>
      <c r="P308" s="163" t="s">
        <v>1682</v>
      </c>
    </row>
    <row r="309" s="93" customFormat="1" ht="20.1" customHeight="1" spans="1:16">
      <c r="A309" s="263" t="s">
        <v>490</v>
      </c>
      <c r="B309" s="264" t="s">
        <v>256</v>
      </c>
      <c r="C309" s="265">
        <f t="shared" ref="C309:I309" si="61">SUM(C310)</f>
        <v>19</v>
      </c>
      <c r="D309" s="265">
        <f t="shared" si="60"/>
        <v>0</v>
      </c>
      <c r="E309" s="265">
        <f t="shared" si="61"/>
        <v>0</v>
      </c>
      <c r="F309" s="265">
        <f t="shared" si="61"/>
        <v>0</v>
      </c>
      <c r="G309" s="265">
        <f t="shared" si="61"/>
        <v>0</v>
      </c>
      <c r="H309" s="265">
        <f t="shared" si="61"/>
        <v>0</v>
      </c>
      <c r="I309" s="265">
        <f t="shared" si="61"/>
        <v>0</v>
      </c>
      <c r="J309" s="283">
        <f t="shared" si="59"/>
        <v>-100</v>
      </c>
      <c r="K309" s="284" t="s">
        <v>1082</v>
      </c>
      <c r="L309" s="285">
        <v>1</v>
      </c>
      <c r="M309" s="263" t="s">
        <v>490</v>
      </c>
      <c r="N309" s="263" t="s">
        <v>488</v>
      </c>
      <c r="O309" s="263" t="s">
        <v>490</v>
      </c>
      <c r="P309" s="286" t="s">
        <v>1683</v>
      </c>
    </row>
    <row r="310" s="92" customFormat="1" ht="20.1" customHeight="1" spans="1:16">
      <c r="A310" s="157" t="s">
        <v>1684</v>
      </c>
      <c r="B310" s="266" t="s">
        <v>1685</v>
      </c>
      <c r="C310" s="267">
        <v>19</v>
      </c>
      <c r="D310" s="267">
        <f t="shared" si="60"/>
        <v>0</v>
      </c>
      <c r="E310" s="267"/>
      <c r="F310" s="267"/>
      <c r="G310" s="267"/>
      <c r="H310" s="267"/>
      <c r="I310" s="267"/>
      <c r="J310" s="288"/>
      <c r="K310" s="276" t="s">
        <v>1087</v>
      </c>
      <c r="L310" s="33">
        <v>1</v>
      </c>
      <c r="M310" s="157" t="s">
        <v>1686</v>
      </c>
      <c r="N310" s="157"/>
      <c r="O310" s="157" t="s">
        <v>1684</v>
      </c>
      <c r="P310" s="163" t="s">
        <v>1683</v>
      </c>
    </row>
    <row r="311" s="93" customFormat="1" ht="20.1" customHeight="1" spans="1:16">
      <c r="A311" s="154" t="s">
        <v>491</v>
      </c>
      <c r="B311" s="261" t="s">
        <v>257</v>
      </c>
      <c r="C311" s="262">
        <f t="shared" ref="C311:I311" si="62">C312+C315+C326+C333+C341+C350+C364+C374+C384+C392+C398</f>
        <v>9721</v>
      </c>
      <c r="D311" s="262">
        <f t="shared" si="60"/>
        <v>10731</v>
      </c>
      <c r="E311" s="262">
        <f t="shared" si="62"/>
        <v>8</v>
      </c>
      <c r="F311" s="262">
        <f t="shared" si="62"/>
        <v>0</v>
      </c>
      <c r="G311" s="262">
        <f t="shared" si="62"/>
        <v>3124</v>
      </c>
      <c r="H311" s="262">
        <f t="shared" si="62"/>
        <v>0</v>
      </c>
      <c r="I311" s="262">
        <f t="shared" si="62"/>
        <v>7599</v>
      </c>
      <c r="J311" s="279">
        <f t="shared" ref="J311:J321" si="63">ROUND(IF(C311=0,IF(D311=0,0,1),IF(D311=0,-1,D311/C311)),4)*100</f>
        <v>110.39</v>
      </c>
      <c r="K311" s="280" t="s">
        <v>1081</v>
      </c>
      <c r="L311" s="281"/>
      <c r="M311" s="154" t="s">
        <v>491</v>
      </c>
      <c r="N311" s="154" t="s">
        <v>491</v>
      </c>
      <c r="O311" s="154" t="s">
        <v>491</v>
      </c>
      <c r="P311" s="282" t="s">
        <v>1687</v>
      </c>
    </row>
    <row r="312" s="93" customFormat="1" ht="20.1" customHeight="1" spans="1:16">
      <c r="A312" s="263" t="s">
        <v>492</v>
      </c>
      <c r="B312" s="264" t="s">
        <v>258</v>
      </c>
      <c r="C312" s="265">
        <f t="shared" ref="C312:I312" si="64">SUM(C313:C314)</f>
        <v>38</v>
      </c>
      <c r="D312" s="265">
        <f t="shared" si="60"/>
        <v>12</v>
      </c>
      <c r="E312" s="265">
        <f t="shared" si="64"/>
        <v>0</v>
      </c>
      <c r="F312" s="265">
        <f t="shared" si="64"/>
        <v>0</v>
      </c>
      <c r="G312" s="265">
        <f t="shared" si="64"/>
        <v>0</v>
      </c>
      <c r="H312" s="265">
        <f t="shared" si="64"/>
        <v>0</v>
      </c>
      <c r="I312" s="265">
        <f t="shared" si="64"/>
        <v>12</v>
      </c>
      <c r="J312" s="283">
        <f t="shared" si="63"/>
        <v>31.58</v>
      </c>
      <c r="K312" s="284" t="s">
        <v>1082</v>
      </c>
      <c r="L312" s="285"/>
      <c r="M312" s="263" t="s">
        <v>492</v>
      </c>
      <c r="N312" s="263" t="s">
        <v>491</v>
      </c>
      <c r="O312" s="263" t="s">
        <v>492</v>
      </c>
      <c r="P312" s="286" t="s">
        <v>1688</v>
      </c>
    </row>
    <row r="313" s="92" customFormat="1" ht="20.1" customHeight="1" spans="1:16">
      <c r="A313" s="157" t="s">
        <v>1689</v>
      </c>
      <c r="B313" s="266" t="s">
        <v>1690</v>
      </c>
      <c r="C313" s="267">
        <v>10</v>
      </c>
      <c r="D313" s="268">
        <f t="shared" si="60"/>
        <v>12</v>
      </c>
      <c r="E313" s="267"/>
      <c r="F313" s="267"/>
      <c r="G313" s="267"/>
      <c r="H313" s="267"/>
      <c r="I313" s="287">
        <v>12</v>
      </c>
      <c r="J313" s="288">
        <f t="shared" si="63"/>
        <v>120</v>
      </c>
      <c r="K313" s="276" t="s">
        <v>1087</v>
      </c>
      <c r="L313" s="33">
        <v>1</v>
      </c>
      <c r="M313" s="157" t="s">
        <v>1689</v>
      </c>
      <c r="N313" s="157"/>
      <c r="O313" s="157" t="s">
        <v>492</v>
      </c>
      <c r="P313" s="164" t="s">
        <v>1688</v>
      </c>
    </row>
    <row r="314" s="92" customFormat="1" ht="20.1" customHeight="1" spans="1:16">
      <c r="A314" s="157" t="s">
        <v>1691</v>
      </c>
      <c r="B314" s="266" t="s">
        <v>1692</v>
      </c>
      <c r="C314" s="267">
        <v>28</v>
      </c>
      <c r="D314" s="268">
        <f t="shared" si="60"/>
        <v>0</v>
      </c>
      <c r="E314" s="267"/>
      <c r="F314" s="267"/>
      <c r="G314" s="267"/>
      <c r="H314" s="267"/>
      <c r="I314" s="287"/>
      <c r="J314" s="288">
        <f t="shared" si="63"/>
        <v>-100</v>
      </c>
      <c r="K314" s="276" t="s">
        <v>1087</v>
      </c>
      <c r="L314" s="33">
        <v>1</v>
      </c>
      <c r="M314" s="157" t="s">
        <v>1691</v>
      </c>
      <c r="N314" s="157"/>
      <c r="O314" s="157" t="s">
        <v>492</v>
      </c>
      <c r="P314" s="164" t="s">
        <v>1693</v>
      </c>
    </row>
    <row r="315" s="93" customFormat="1" ht="20.1" customHeight="1" spans="1:16">
      <c r="A315" s="263" t="s">
        <v>493</v>
      </c>
      <c r="B315" s="264" t="s">
        <v>259</v>
      </c>
      <c r="C315" s="265">
        <f t="shared" ref="C315:I315" si="65">SUM(C316:C325)</f>
        <v>8344</v>
      </c>
      <c r="D315" s="265">
        <f t="shared" si="60"/>
        <v>9851</v>
      </c>
      <c r="E315" s="265">
        <f t="shared" si="65"/>
        <v>0</v>
      </c>
      <c r="F315" s="265">
        <f t="shared" si="65"/>
        <v>0</v>
      </c>
      <c r="G315" s="265">
        <f t="shared" si="65"/>
        <v>3053</v>
      </c>
      <c r="H315" s="265">
        <f t="shared" si="65"/>
        <v>0</v>
      </c>
      <c r="I315" s="265">
        <f t="shared" si="65"/>
        <v>6798</v>
      </c>
      <c r="J315" s="283">
        <f t="shared" si="63"/>
        <v>118.06</v>
      </c>
      <c r="K315" s="284" t="s">
        <v>1082</v>
      </c>
      <c r="L315" s="285"/>
      <c r="M315" s="263" t="s">
        <v>493</v>
      </c>
      <c r="N315" s="263" t="s">
        <v>491</v>
      </c>
      <c r="O315" s="263" t="s">
        <v>493</v>
      </c>
      <c r="P315" s="286" t="s">
        <v>1694</v>
      </c>
    </row>
    <row r="316" s="92" customFormat="1" ht="20.1" customHeight="1" spans="1:16">
      <c r="A316" s="157" t="s">
        <v>1695</v>
      </c>
      <c r="B316" s="269" t="s">
        <v>1086</v>
      </c>
      <c r="C316" s="267">
        <v>5844</v>
      </c>
      <c r="D316" s="268">
        <f t="shared" si="60"/>
        <v>5782</v>
      </c>
      <c r="E316" s="267"/>
      <c r="F316" s="267"/>
      <c r="G316" s="267"/>
      <c r="H316" s="267"/>
      <c r="I316" s="287">
        <v>5782</v>
      </c>
      <c r="J316" s="288">
        <f t="shared" si="63"/>
        <v>98.94</v>
      </c>
      <c r="K316" s="276" t="s">
        <v>1087</v>
      </c>
      <c r="L316" s="33">
        <v>1</v>
      </c>
      <c r="M316" s="157" t="s">
        <v>1695</v>
      </c>
      <c r="N316" s="157"/>
      <c r="O316" s="157" t="s">
        <v>493</v>
      </c>
      <c r="P316" s="164" t="s">
        <v>1088</v>
      </c>
    </row>
    <row r="317" s="92" customFormat="1" ht="20.1" customHeight="1" spans="1:16">
      <c r="A317" s="157" t="s">
        <v>1696</v>
      </c>
      <c r="B317" s="36" t="s">
        <v>1090</v>
      </c>
      <c r="C317" s="267">
        <v>5</v>
      </c>
      <c r="D317" s="268">
        <f t="shared" si="60"/>
        <v>5</v>
      </c>
      <c r="E317" s="267"/>
      <c r="F317" s="267"/>
      <c r="G317" s="267"/>
      <c r="H317" s="267"/>
      <c r="I317" s="287">
        <v>5</v>
      </c>
      <c r="J317" s="288">
        <f t="shared" si="63"/>
        <v>100</v>
      </c>
      <c r="K317" s="276" t="s">
        <v>1087</v>
      </c>
      <c r="L317" s="33">
        <v>1</v>
      </c>
      <c r="M317" s="157" t="s">
        <v>1696</v>
      </c>
      <c r="N317" s="157"/>
      <c r="O317" s="157" t="s">
        <v>493</v>
      </c>
      <c r="P317" s="164" t="s">
        <v>1091</v>
      </c>
    </row>
    <row r="318" s="92" customFormat="1" ht="20.1" customHeight="1" spans="1:16">
      <c r="A318" s="157" t="s">
        <v>1697</v>
      </c>
      <c r="B318" s="266" t="s">
        <v>1093</v>
      </c>
      <c r="C318" s="267">
        <v>163</v>
      </c>
      <c r="D318" s="268">
        <f t="shared" si="60"/>
        <v>357</v>
      </c>
      <c r="E318" s="267"/>
      <c r="F318" s="267"/>
      <c r="G318" s="267"/>
      <c r="H318" s="267"/>
      <c r="I318" s="296">
        <v>357</v>
      </c>
      <c r="J318" s="288">
        <f t="shared" si="63"/>
        <v>219.02</v>
      </c>
      <c r="K318" s="276" t="s">
        <v>1087</v>
      </c>
      <c r="L318" s="33">
        <v>1</v>
      </c>
      <c r="M318" s="157" t="s">
        <v>1697</v>
      </c>
      <c r="N318" s="157"/>
      <c r="O318" s="157" t="s">
        <v>493</v>
      </c>
      <c r="P318" s="164" t="s">
        <v>1094</v>
      </c>
    </row>
    <row r="319" s="92" customFormat="1" ht="20.1" customHeight="1" spans="1:16">
      <c r="A319" s="157" t="s">
        <v>1698</v>
      </c>
      <c r="B319" s="269" t="s">
        <v>1217</v>
      </c>
      <c r="C319" s="267"/>
      <c r="D319" s="268">
        <f t="shared" si="60"/>
        <v>100</v>
      </c>
      <c r="E319" s="267"/>
      <c r="F319" s="267"/>
      <c r="G319" s="267"/>
      <c r="H319" s="267"/>
      <c r="I319" s="287">
        <v>100</v>
      </c>
      <c r="J319" s="288">
        <f t="shared" si="63"/>
        <v>100</v>
      </c>
      <c r="K319" s="276" t="s">
        <v>1087</v>
      </c>
      <c r="L319" s="33">
        <v>1</v>
      </c>
      <c r="M319" s="157" t="s">
        <v>1698</v>
      </c>
      <c r="N319" s="157"/>
      <c r="O319" s="157" t="s">
        <v>493</v>
      </c>
      <c r="P319" s="164" t="s">
        <v>1218</v>
      </c>
    </row>
    <row r="320" s="92" customFormat="1" ht="20.1" customHeight="1" spans="1:16">
      <c r="A320" s="157" t="s">
        <v>1699</v>
      </c>
      <c r="B320" s="269" t="s">
        <v>1700</v>
      </c>
      <c r="C320" s="267">
        <v>1883</v>
      </c>
      <c r="D320" s="268">
        <f t="shared" si="60"/>
        <v>75</v>
      </c>
      <c r="E320" s="267"/>
      <c r="F320" s="267"/>
      <c r="G320" s="267">
        <v>75</v>
      </c>
      <c r="H320" s="267"/>
      <c r="I320" s="287"/>
      <c r="J320" s="288">
        <f t="shared" si="63"/>
        <v>3.98</v>
      </c>
      <c r="K320" s="276" t="s">
        <v>1087</v>
      </c>
      <c r="L320" s="33">
        <v>1</v>
      </c>
      <c r="M320" s="157" t="s">
        <v>1699</v>
      </c>
      <c r="N320" s="157"/>
      <c r="O320" s="157" t="s">
        <v>493</v>
      </c>
      <c r="P320" s="164" t="s">
        <v>1701</v>
      </c>
    </row>
    <row r="321" s="92" customFormat="1" ht="20.1" customHeight="1" spans="1:16">
      <c r="A321" s="157" t="s">
        <v>1702</v>
      </c>
      <c r="B321" s="269" t="s">
        <v>1703</v>
      </c>
      <c r="C321" s="267"/>
      <c r="D321" s="268">
        <f t="shared" si="60"/>
        <v>0</v>
      </c>
      <c r="E321" s="267"/>
      <c r="F321" s="267"/>
      <c r="G321" s="267"/>
      <c r="H321" s="267"/>
      <c r="I321" s="287"/>
      <c r="J321" s="288">
        <f t="shared" si="63"/>
        <v>0</v>
      </c>
      <c r="K321" s="276" t="s">
        <v>1087</v>
      </c>
      <c r="L321" s="33">
        <v>1</v>
      </c>
      <c r="M321" s="157" t="s">
        <v>1702</v>
      </c>
      <c r="N321" s="157"/>
      <c r="O321" s="157" t="s">
        <v>493</v>
      </c>
      <c r="P321" s="164" t="s">
        <v>1704</v>
      </c>
    </row>
    <row r="322" s="92" customFormat="1" ht="20.1" customHeight="1" spans="1:16">
      <c r="A322" s="157" t="s">
        <v>1705</v>
      </c>
      <c r="B322" s="269" t="s">
        <v>1706</v>
      </c>
      <c r="C322" s="267"/>
      <c r="D322" s="268"/>
      <c r="E322" s="267"/>
      <c r="F322" s="267"/>
      <c r="G322" s="267"/>
      <c r="H322" s="267"/>
      <c r="I322" s="287"/>
      <c r="J322" s="288"/>
      <c r="K322" s="276" t="s">
        <v>1087</v>
      </c>
      <c r="L322" s="33">
        <v>2</v>
      </c>
      <c r="M322" s="157" t="s">
        <v>1705</v>
      </c>
      <c r="N322" s="157"/>
      <c r="O322" s="157" t="s">
        <v>493</v>
      </c>
      <c r="P322" s="164" t="s">
        <v>1707</v>
      </c>
    </row>
    <row r="323" s="92" customFormat="1" ht="20.1" customHeight="1" spans="1:16">
      <c r="A323" s="157" t="s">
        <v>1708</v>
      </c>
      <c r="B323" s="269" t="s">
        <v>1709</v>
      </c>
      <c r="C323" s="267"/>
      <c r="D323" s="268"/>
      <c r="E323" s="267"/>
      <c r="F323" s="267"/>
      <c r="G323" s="267"/>
      <c r="H323" s="267"/>
      <c r="I323" s="287"/>
      <c r="J323" s="288"/>
      <c r="K323" s="276" t="s">
        <v>1087</v>
      </c>
      <c r="L323" s="33">
        <v>3</v>
      </c>
      <c r="M323" s="157" t="s">
        <v>1708</v>
      </c>
      <c r="N323" s="157"/>
      <c r="O323" s="157" t="s">
        <v>493</v>
      </c>
      <c r="P323" s="164" t="s">
        <v>1710</v>
      </c>
    </row>
    <row r="324" s="92" customFormat="1" ht="20.1" customHeight="1" spans="1:16">
      <c r="A324" s="157" t="s">
        <v>1711</v>
      </c>
      <c r="B324" s="269" t="s">
        <v>1114</v>
      </c>
      <c r="C324" s="267"/>
      <c r="D324" s="268">
        <f t="shared" ref="D324:D387" si="66">SUM(E324:I324)</f>
        <v>0</v>
      </c>
      <c r="E324" s="267"/>
      <c r="F324" s="267"/>
      <c r="G324" s="267"/>
      <c r="H324" s="267"/>
      <c r="I324" s="287"/>
      <c r="J324" s="288">
        <f t="shared" ref="J324:J387" si="67">ROUND(IF(C324=0,IF(D324=0,0,1),IF(D324=0,-1,D324/C324)),4)*100</f>
        <v>0</v>
      </c>
      <c r="K324" s="276" t="s">
        <v>1087</v>
      </c>
      <c r="L324" s="33">
        <v>1</v>
      </c>
      <c r="M324" s="157" t="s">
        <v>1711</v>
      </c>
      <c r="N324" s="157"/>
      <c r="O324" s="157" t="s">
        <v>493</v>
      </c>
      <c r="P324" s="164" t="s">
        <v>1115</v>
      </c>
    </row>
    <row r="325" s="92" customFormat="1" ht="20.1" customHeight="1" spans="1:16">
      <c r="A325" s="157" t="s">
        <v>1712</v>
      </c>
      <c r="B325" s="269" t="s">
        <v>1713</v>
      </c>
      <c r="C325" s="267">
        <v>449</v>
      </c>
      <c r="D325" s="268">
        <f t="shared" si="66"/>
        <v>3532</v>
      </c>
      <c r="E325" s="267"/>
      <c r="F325" s="267"/>
      <c r="G325" s="267">
        <v>2978</v>
      </c>
      <c r="H325" s="267"/>
      <c r="I325" s="287">
        <v>554</v>
      </c>
      <c r="J325" s="288">
        <f t="shared" si="67"/>
        <v>786.64</v>
      </c>
      <c r="K325" s="276" t="s">
        <v>1087</v>
      </c>
      <c r="L325" s="33">
        <v>1</v>
      </c>
      <c r="M325" s="157" t="s">
        <v>1712</v>
      </c>
      <c r="N325" s="157"/>
      <c r="O325" s="157" t="s">
        <v>493</v>
      </c>
      <c r="P325" s="163" t="s">
        <v>1714</v>
      </c>
    </row>
    <row r="326" s="93" customFormat="1" ht="20.1" customHeight="1" spans="1:16">
      <c r="A326" s="263" t="s">
        <v>494</v>
      </c>
      <c r="B326" s="264" t="s">
        <v>260</v>
      </c>
      <c r="C326" s="265">
        <f t="shared" ref="C326:I326" si="68">SUM(C327:C332)</f>
        <v>0</v>
      </c>
      <c r="D326" s="265">
        <f t="shared" si="66"/>
        <v>65</v>
      </c>
      <c r="E326" s="265">
        <f t="shared" si="68"/>
        <v>0</v>
      </c>
      <c r="F326" s="265">
        <f t="shared" si="68"/>
        <v>0</v>
      </c>
      <c r="G326" s="265">
        <f t="shared" si="68"/>
        <v>0</v>
      </c>
      <c r="H326" s="265">
        <f t="shared" si="68"/>
        <v>0</v>
      </c>
      <c r="I326" s="265">
        <f t="shared" si="68"/>
        <v>65</v>
      </c>
      <c r="J326" s="283">
        <f t="shared" si="67"/>
        <v>100</v>
      </c>
      <c r="K326" s="284" t="s">
        <v>1082</v>
      </c>
      <c r="L326" s="285"/>
      <c r="M326" s="263" t="s">
        <v>494</v>
      </c>
      <c r="N326" s="263" t="s">
        <v>491</v>
      </c>
      <c r="O326" s="263" t="s">
        <v>494</v>
      </c>
      <c r="P326" s="286" t="s">
        <v>1715</v>
      </c>
    </row>
    <row r="327" s="92" customFormat="1" ht="20.1" customHeight="1" spans="1:16">
      <c r="A327" s="157" t="s">
        <v>1716</v>
      </c>
      <c r="B327" s="266" t="s">
        <v>1086</v>
      </c>
      <c r="C327" s="267">
        <v>0</v>
      </c>
      <c r="D327" s="268">
        <f t="shared" si="66"/>
        <v>0</v>
      </c>
      <c r="E327" s="267"/>
      <c r="F327" s="267"/>
      <c r="G327" s="267"/>
      <c r="H327" s="267"/>
      <c r="I327" s="287"/>
      <c r="J327" s="288">
        <f t="shared" si="67"/>
        <v>0</v>
      </c>
      <c r="K327" s="276" t="s">
        <v>1087</v>
      </c>
      <c r="L327" s="33">
        <v>1</v>
      </c>
      <c r="M327" s="157" t="s">
        <v>1716</v>
      </c>
      <c r="N327" s="157"/>
      <c r="O327" s="157" t="s">
        <v>494</v>
      </c>
      <c r="P327" s="164" t="s">
        <v>1088</v>
      </c>
    </row>
    <row r="328" s="92" customFormat="1" ht="20.1" customHeight="1" spans="1:16">
      <c r="A328" s="157" t="s">
        <v>1717</v>
      </c>
      <c r="B328" s="266" t="s">
        <v>1090</v>
      </c>
      <c r="C328" s="267">
        <v>0</v>
      </c>
      <c r="D328" s="268">
        <f t="shared" si="66"/>
        <v>0</v>
      </c>
      <c r="E328" s="267"/>
      <c r="F328" s="267"/>
      <c r="G328" s="267"/>
      <c r="H328" s="267"/>
      <c r="I328" s="287"/>
      <c r="J328" s="288">
        <f t="shared" si="67"/>
        <v>0</v>
      </c>
      <c r="K328" s="276" t="s">
        <v>1087</v>
      </c>
      <c r="L328" s="33">
        <v>1</v>
      </c>
      <c r="M328" s="157" t="s">
        <v>1717</v>
      </c>
      <c r="N328" s="157"/>
      <c r="O328" s="157" t="s">
        <v>494</v>
      </c>
      <c r="P328" s="164" t="s">
        <v>1091</v>
      </c>
    </row>
    <row r="329" s="92" customFormat="1" ht="20.1" customHeight="1" spans="1:16">
      <c r="A329" s="157" t="s">
        <v>1718</v>
      </c>
      <c r="B329" s="269" t="s">
        <v>1093</v>
      </c>
      <c r="C329" s="267">
        <v>0</v>
      </c>
      <c r="D329" s="268">
        <f t="shared" si="66"/>
        <v>64</v>
      </c>
      <c r="E329" s="267"/>
      <c r="F329" s="267"/>
      <c r="G329" s="267"/>
      <c r="H329" s="267"/>
      <c r="I329" s="287">
        <v>64</v>
      </c>
      <c r="J329" s="288">
        <f t="shared" si="67"/>
        <v>100</v>
      </c>
      <c r="K329" s="276" t="s">
        <v>1087</v>
      </c>
      <c r="L329" s="33">
        <v>1</v>
      </c>
      <c r="M329" s="157" t="s">
        <v>1718</v>
      </c>
      <c r="N329" s="157"/>
      <c r="O329" s="157" t="s">
        <v>494</v>
      </c>
      <c r="P329" s="164" t="s">
        <v>1094</v>
      </c>
    </row>
    <row r="330" s="92" customFormat="1" ht="20.1" customHeight="1" spans="1:16">
      <c r="A330" s="157" t="s">
        <v>1719</v>
      </c>
      <c r="B330" s="269" t="s">
        <v>1720</v>
      </c>
      <c r="C330" s="267">
        <v>0</v>
      </c>
      <c r="D330" s="268">
        <f t="shared" si="66"/>
        <v>1</v>
      </c>
      <c r="E330" s="267"/>
      <c r="F330" s="267"/>
      <c r="G330" s="267"/>
      <c r="H330" s="267"/>
      <c r="I330" s="287">
        <v>1</v>
      </c>
      <c r="J330" s="288">
        <f t="shared" si="67"/>
        <v>100</v>
      </c>
      <c r="K330" s="276" t="s">
        <v>1087</v>
      </c>
      <c r="L330" s="33">
        <v>1</v>
      </c>
      <c r="M330" s="157" t="s">
        <v>1719</v>
      </c>
      <c r="N330" s="157"/>
      <c r="O330" s="157" t="s">
        <v>494</v>
      </c>
      <c r="P330" s="163" t="s">
        <v>1721</v>
      </c>
    </row>
    <row r="331" s="92" customFormat="1" ht="20.1" customHeight="1" spans="1:16">
      <c r="A331" s="157" t="s">
        <v>1722</v>
      </c>
      <c r="B331" s="269" t="s">
        <v>1114</v>
      </c>
      <c r="C331" s="267">
        <v>0</v>
      </c>
      <c r="D331" s="268">
        <f t="shared" si="66"/>
        <v>0</v>
      </c>
      <c r="E331" s="267"/>
      <c r="F331" s="267"/>
      <c r="G331" s="267"/>
      <c r="H331" s="267"/>
      <c r="I331" s="287"/>
      <c r="J331" s="288">
        <f t="shared" si="67"/>
        <v>0</v>
      </c>
      <c r="K331" s="276" t="s">
        <v>1087</v>
      </c>
      <c r="L331" s="33">
        <v>1</v>
      </c>
      <c r="M331" s="157" t="s">
        <v>1722</v>
      </c>
      <c r="N331" s="157"/>
      <c r="O331" s="157" t="s">
        <v>494</v>
      </c>
      <c r="P331" s="164" t="s">
        <v>1115</v>
      </c>
    </row>
    <row r="332" s="92" customFormat="1" ht="20.1" customHeight="1" spans="1:16">
      <c r="A332" s="157" t="s">
        <v>1723</v>
      </c>
      <c r="B332" s="36" t="s">
        <v>1724</v>
      </c>
      <c r="C332" s="267"/>
      <c r="D332" s="268">
        <f t="shared" si="66"/>
        <v>0</v>
      </c>
      <c r="E332" s="267"/>
      <c r="F332" s="267"/>
      <c r="G332" s="267"/>
      <c r="H332" s="267"/>
      <c r="I332" s="287"/>
      <c r="J332" s="288">
        <f t="shared" si="67"/>
        <v>0</v>
      </c>
      <c r="K332" s="276" t="s">
        <v>1087</v>
      </c>
      <c r="L332" s="33">
        <v>1</v>
      </c>
      <c r="M332" s="157" t="s">
        <v>1723</v>
      </c>
      <c r="N332" s="157"/>
      <c r="O332" s="157" t="s">
        <v>494</v>
      </c>
      <c r="P332" s="163" t="s">
        <v>1725</v>
      </c>
    </row>
    <row r="333" s="93" customFormat="1" ht="20.1" customHeight="1" spans="1:16">
      <c r="A333" s="263" t="s">
        <v>495</v>
      </c>
      <c r="B333" s="264" t="s">
        <v>261</v>
      </c>
      <c r="C333" s="265">
        <f t="shared" ref="C333:I333" si="69">SUM(C334:C340)</f>
        <v>135</v>
      </c>
      <c r="D333" s="265">
        <f t="shared" si="66"/>
        <v>0</v>
      </c>
      <c r="E333" s="265">
        <f t="shared" si="69"/>
        <v>0</v>
      </c>
      <c r="F333" s="265">
        <f t="shared" si="69"/>
        <v>0</v>
      </c>
      <c r="G333" s="265">
        <f t="shared" si="69"/>
        <v>0</v>
      </c>
      <c r="H333" s="265">
        <f t="shared" si="69"/>
        <v>0</v>
      </c>
      <c r="I333" s="265">
        <f t="shared" si="69"/>
        <v>0</v>
      </c>
      <c r="J333" s="283">
        <f t="shared" si="67"/>
        <v>-100</v>
      </c>
      <c r="K333" s="284" t="s">
        <v>1082</v>
      </c>
      <c r="L333" s="285"/>
      <c r="M333" s="263" t="s">
        <v>495</v>
      </c>
      <c r="N333" s="263" t="s">
        <v>491</v>
      </c>
      <c r="O333" s="263" t="s">
        <v>495</v>
      </c>
      <c r="P333" s="286" t="s">
        <v>1726</v>
      </c>
    </row>
    <row r="334" s="92" customFormat="1" ht="20.1" customHeight="1" spans="1:16">
      <c r="A334" s="157" t="s">
        <v>1727</v>
      </c>
      <c r="B334" s="266" t="s">
        <v>1086</v>
      </c>
      <c r="C334" s="267">
        <v>135</v>
      </c>
      <c r="D334" s="268">
        <f t="shared" si="66"/>
        <v>0</v>
      </c>
      <c r="E334" s="267"/>
      <c r="F334" s="267"/>
      <c r="G334" s="267"/>
      <c r="H334" s="267"/>
      <c r="I334" s="287"/>
      <c r="J334" s="288">
        <f t="shared" si="67"/>
        <v>-100</v>
      </c>
      <c r="K334" s="276" t="s">
        <v>1087</v>
      </c>
      <c r="L334" s="33">
        <v>1</v>
      </c>
      <c r="M334" s="157" t="s">
        <v>1727</v>
      </c>
      <c r="N334" s="157"/>
      <c r="O334" s="157" t="s">
        <v>495</v>
      </c>
      <c r="P334" s="164" t="s">
        <v>1088</v>
      </c>
    </row>
    <row r="335" s="92" customFormat="1" ht="20.1" customHeight="1" spans="1:16">
      <c r="A335" s="157" t="s">
        <v>1728</v>
      </c>
      <c r="B335" s="266" t="s">
        <v>1090</v>
      </c>
      <c r="C335" s="267"/>
      <c r="D335" s="268">
        <f t="shared" si="66"/>
        <v>0</v>
      </c>
      <c r="E335" s="267"/>
      <c r="F335" s="267"/>
      <c r="G335" s="267"/>
      <c r="H335" s="267"/>
      <c r="I335" s="287"/>
      <c r="J335" s="288">
        <f t="shared" si="67"/>
        <v>0</v>
      </c>
      <c r="K335" s="276" t="s">
        <v>1087</v>
      </c>
      <c r="L335" s="33">
        <v>1</v>
      </c>
      <c r="M335" s="157" t="s">
        <v>1728</v>
      </c>
      <c r="N335" s="157"/>
      <c r="O335" s="157" t="s">
        <v>495</v>
      </c>
      <c r="P335" s="164" t="s">
        <v>1091</v>
      </c>
    </row>
    <row r="336" s="92" customFormat="1" ht="20.1" customHeight="1" spans="1:16">
      <c r="A336" s="157" t="s">
        <v>1729</v>
      </c>
      <c r="B336" s="269" t="s">
        <v>1093</v>
      </c>
      <c r="C336" s="267"/>
      <c r="D336" s="268">
        <f t="shared" si="66"/>
        <v>0</v>
      </c>
      <c r="E336" s="267"/>
      <c r="F336" s="267"/>
      <c r="G336" s="267"/>
      <c r="H336" s="267"/>
      <c r="I336" s="287"/>
      <c r="J336" s="288">
        <f t="shared" si="67"/>
        <v>0</v>
      </c>
      <c r="K336" s="276" t="s">
        <v>1087</v>
      </c>
      <c r="L336" s="33">
        <v>1</v>
      </c>
      <c r="M336" s="157" t="s">
        <v>1729</v>
      </c>
      <c r="N336" s="157"/>
      <c r="O336" s="157" t="s">
        <v>495</v>
      </c>
      <c r="P336" s="164" t="s">
        <v>1094</v>
      </c>
    </row>
    <row r="337" s="92" customFormat="1" ht="20.1" customHeight="1" spans="1:16">
      <c r="A337" s="157" t="s">
        <v>1730</v>
      </c>
      <c r="B337" s="269" t="s">
        <v>1731</v>
      </c>
      <c r="C337" s="267"/>
      <c r="D337" s="268">
        <f t="shared" si="66"/>
        <v>0</v>
      </c>
      <c r="E337" s="267"/>
      <c r="F337" s="267"/>
      <c r="G337" s="267"/>
      <c r="H337" s="267"/>
      <c r="I337" s="287"/>
      <c r="J337" s="288">
        <f t="shared" si="67"/>
        <v>0</v>
      </c>
      <c r="K337" s="276" t="s">
        <v>1087</v>
      </c>
      <c r="L337" s="33">
        <v>1</v>
      </c>
      <c r="M337" s="157" t="s">
        <v>1730</v>
      </c>
      <c r="N337" s="157"/>
      <c r="O337" s="157" t="s">
        <v>495</v>
      </c>
      <c r="P337" s="163" t="s">
        <v>1732</v>
      </c>
    </row>
    <row r="338" s="92" customFormat="1" ht="20.1" customHeight="1" spans="1:16">
      <c r="A338" s="157" t="s">
        <v>1733</v>
      </c>
      <c r="B338" s="269" t="s">
        <v>1734</v>
      </c>
      <c r="C338" s="267"/>
      <c r="D338" s="268">
        <f t="shared" si="66"/>
        <v>0</v>
      </c>
      <c r="E338" s="267"/>
      <c r="F338" s="267"/>
      <c r="G338" s="267"/>
      <c r="H338" s="267"/>
      <c r="I338" s="287"/>
      <c r="J338" s="288">
        <f t="shared" si="67"/>
        <v>0</v>
      </c>
      <c r="K338" s="276" t="s">
        <v>1087</v>
      </c>
      <c r="L338" s="33">
        <v>1</v>
      </c>
      <c r="M338" s="157" t="s">
        <v>1733</v>
      </c>
      <c r="N338" s="157"/>
      <c r="O338" s="157" t="s">
        <v>495</v>
      </c>
      <c r="P338" s="164" t="s">
        <v>1735</v>
      </c>
    </row>
    <row r="339" s="92" customFormat="1" ht="20.1" customHeight="1" spans="1:16">
      <c r="A339" s="157" t="s">
        <v>1736</v>
      </c>
      <c r="B339" s="269" t="s">
        <v>1114</v>
      </c>
      <c r="C339" s="267"/>
      <c r="D339" s="268">
        <f t="shared" si="66"/>
        <v>0</v>
      </c>
      <c r="E339" s="267"/>
      <c r="F339" s="267"/>
      <c r="G339" s="267"/>
      <c r="H339" s="267"/>
      <c r="I339" s="287"/>
      <c r="J339" s="288">
        <f t="shared" si="67"/>
        <v>0</v>
      </c>
      <c r="K339" s="276" t="s">
        <v>1087</v>
      </c>
      <c r="L339" s="33">
        <v>1</v>
      </c>
      <c r="M339" s="157" t="s">
        <v>1736</v>
      </c>
      <c r="N339" s="157"/>
      <c r="O339" s="157" t="s">
        <v>495</v>
      </c>
      <c r="P339" s="164" t="s">
        <v>1115</v>
      </c>
    </row>
    <row r="340" s="92" customFormat="1" ht="20.1" customHeight="1" spans="1:16">
      <c r="A340" s="157" t="s">
        <v>1737</v>
      </c>
      <c r="B340" s="269" t="s">
        <v>1738</v>
      </c>
      <c r="C340" s="267"/>
      <c r="D340" s="268">
        <f t="shared" si="66"/>
        <v>0</v>
      </c>
      <c r="E340" s="267"/>
      <c r="F340" s="267"/>
      <c r="G340" s="267"/>
      <c r="H340" s="267"/>
      <c r="I340" s="287"/>
      <c r="J340" s="288">
        <f t="shared" si="67"/>
        <v>0</v>
      </c>
      <c r="K340" s="276" t="s">
        <v>1087</v>
      </c>
      <c r="L340" s="33">
        <v>1</v>
      </c>
      <c r="M340" s="157" t="s">
        <v>1737</v>
      </c>
      <c r="N340" s="157"/>
      <c r="O340" s="157" t="s">
        <v>495</v>
      </c>
      <c r="P340" s="163" t="s">
        <v>1739</v>
      </c>
    </row>
    <row r="341" s="93" customFormat="1" ht="20.1" customHeight="1" spans="1:16">
      <c r="A341" s="263" t="s">
        <v>496</v>
      </c>
      <c r="B341" s="264" t="s">
        <v>262</v>
      </c>
      <c r="C341" s="265">
        <f t="shared" ref="C341:I341" si="70">SUM(C342:C349)</f>
        <v>271</v>
      </c>
      <c r="D341" s="265">
        <f t="shared" si="66"/>
        <v>0</v>
      </c>
      <c r="E341" s="265">
        <f t="shared" si="70"/>
        <v>0</v>
      </c>
      <c r="F341" s="265">
        <f t="shared" si="70"/>
        <v>0</v>
      </c>
      <c r="G341" s="265">
        <f t="shared" si="70"/>
        <v>0</v>
      </c>
      <c r="H341" s="265">
        <f t="shared" si="70"/>
        <v>0</v>
      </c>
      <c r="I341" s="265">
        <f t="shared" si="70"/>
        <v>0</v>
      </c>
      <c r="J341" s="283">
        <f t="shared" si="67"/>
        <v>-100</v>
      </c>
      <c r="K341" s="284" t="s">
        <v>1082</v>
      </c>
      <c r="L341" s="285"/>
      <c r="M341" s="263" t="s">
        <v>496</v>
      </c>
      <c r="N341" s="263" t="s">
        <v>491</v>
      </c>
      <c r="O341" s="263" t="s">
        <v>496</v>
      </c>
      <c r="P341" s="286" t="s">
        <v>1740</v>
      </c>
    </row>
    <row r="342" s="92" customFormat="1" ht="20.1" customHeight="1" spans="1:16">
      <c r="A342" s="157" t="s">
        <v>1741</v>
      </c>
      <c r="B342" s="266" t="s">
        <v>1086</v>
      </c>
      <c r="C342" s="267">
        <v>271</v>
      </c>
      <c r="D342" s="268">
        <f t="shared" si="66"/>
        <v>0</v>
      </c>
      <c r="E342" s="267"/>
      <c r="F342" s="267"/>
      <c r="G342" s="267"/>
      <c r="H342" s="267"/>
      <c r="I342" s="287"/>
      <c r="J342" s="288">
        <f t="shared" si="67"/>
        <v>-100</v>
      </c>
      <c r="K342" s="276" t="s">
        <v>1087</v>
      </c>
      <c r="L342" s="33">
        <v>1</v>
      </c>
      <c r="M342" s="157" t="s">
        <v>1741</v>
      </c>
      <c r="N342" s="157"/>
      <c r="O342" s="157" t="s">
        <v>496</v>
      </c>
      <c r="P342" s="164" t="s">
        <v>1088</v>
      </c>
    </row>
    <row r="343" s="92" customFormat="1" ht="20.1" customHeight="1" spans="1:16">
      <c r="A343" s="157" t="s">
        <v>1742</v>
      </c>
      <c r="B343" s="266" t="s">
        <v>1090</v>
      </c>
      <c r="C343" s="267"/>
      <c r="D343" s="268">
        <f t="shared" si="66"/>
        <v>0</v>
      </c>
      <c r="E343" s="267"/>
      <c r="F343" s="267"/>
      <c r="G343" s="267"/>
      <c r="H343" s="267"/>
      <c r="I343" s="287"/>
      <c r="J343" s="288">
        <f t="shared" si="67"/>
        <v>0</v>
      </c>
      <c r="K343" s="276" t="s">
        <v>1087</v>
      </c>
      <c r="L343" s="33">
        <v>1</v>
      </c>
      <c r="M343" s="157" t="s">
        <v>1742</v>
      </c>
      <c r="N343" s="157"/>
      <c r="O343" s="157" t="s">
        <v>496</v>
      </c>
      <c r="P343" s="164" t="s">
        <v>1091</v>
      </c>
    </row>
    <row r="344" s="92" customFormat="1" ht="20.1" customHeight="1" spans="1:16">
      <c r="A344" s="157" t="s">
        <v>1743</v>
      </c>
      <c r="B344" s="266" t="s">
        <v>1093</v>
      </c>
      <c r="C344" s="267"/>
      <c r="D344" s="268">
        <f t="shared" si="66"/>
        <v>0</v>
      </c>
      <c r="E344" s="267"/>
      <c r="F344" s="267"/>
      <c r="G344" s="267"/>
      <c r="H344" s="267"/>
      <c r="I344" s="287"/>
      <c r="J344" s="288">
        <f t="shared" si="67"/>
        <v>0</v>
      </c>
      <c r="K344" s="276" t="s">
        <v>1087</v>
      </c>
      <c r="L344" s="33">
        <v>1</v>
      </c>
      <c r="M344" s="157" t="s">
        <v>1743</v>
      </c>
      <c r="N344" s="157"/>
      <c r="O344" s="157" t="s">
        <v>496</v>
      </c>
      <c r="P344" s="164" t="s">
        <v>1094</v>
      </c>
    </row>
    <row r="345" s="92" customFormat="1" ht="20.1" customHeight="1" spans="1:16">
      <c r="A345" s="157" t="s">
        <v>1744</v>
      </c>
      <c r="B345" s="269" t="s">
        <v>1745</v>
      </c>
      <c r="C345" s="267"/>
      <c r="D345" s="268">
        <f t="shared" si="66"/>
        <v>0</v>
      </c>
      <c r="E345" s="267"/>
      <c r="F345" s="267"/>
      <c r="G345" s="267"/>
      <c r="H345" s="267"/>
      <c r="I345" s="287"/>
      <c r="J345" s="288">
        <f t="shared" si="67"/>
        <v>0</v>
      </c>
      <c r="K345" s="276" t="s">
        <v>1087</v>
      </c>
      <c r="L345" s="33">
        <v>1</v>
      </c>
      <c r="M345" s="157" t="s">
        <v>1744</v>
      </c>
      <c r="N345" s="157"/>
      <c r="O345" s="157" t="s">
        <v>496</v>
      </c>
      <c r="P345" s="163" t="s">
        <v>1746</v>
      </c>
    </row>
    <row r="346" s="92" customFormat="1" ht="20.1" customHeight="1" spans="1:16">
      <c r="A346" s="157" t="s">
        <v>1747</v>
      </c>
      <c r="B346" s="269" t="s">
        <v>1748</v>
      </c>
      <c r="C346" s="267"/>
      <c r="D346" s="268">
        <f t="shared" si="66"/>
        <v>0</v>
      </c>
      <c r="E346" s="267"/>
      <c r="F346" s="267"/>
      <c r="G346" s="267"/>
      <c r="H346" s="267"/>
      <c r="I346" s="287"/>
      <c r="J346" s="288">
        <f t="shared" si="67"/>
        <v>0</v>
      </c>
      <c r="K346" s="276" t="s">
        <v>1087</v>
      </c>
      <c r="L346" s="33">
        <v>1</v>
      </c>
      <c r="M346" s="157" t="s">
        <v>1747</v>
      </c>
      <c r="N346" s="157"/>
      <c r="O346" s="157" t="s">
        <v>496</v>
      </c>
      <c r="P346" s="163" t="s">
        <v>1749</v>
      </c>
    </row>
    <row r="347" s="92" customFormat="1" ht="20.1" customHeight="1" spans="1:16">
      <c r="A347" s="157" t="s">
        <v>1750</v>
      </c>
      <c r="B347" s="269" t="s">
        <v>1751</v>
      </c>
      <c r="C347" s="267"/>
      <c r="D347" s="268">
        <f t="shared" si="66"/>
        <v>0</v>
      </c>
      <c r="E347" s="267"/>
      <c r="F347" s="267"/>
      <c r="G347" s="267"/>
      <c r="H347" s="267"/>
      <c r="I347" s="287"/>
      <c r="J347" s="288">
        <f t="shared" si="67"/>
        <v>0</v>
      </c>
      <c r="K347" s="276" t="s">
        <v>1087</v>
      </c>
      <c r="L347" s="33">
        <v>1</v>
      </c>
      <c r="M347" s="157" t="s">
        <v>1750</v>
      </c>
      <c r="N347" s="157"/>
      <c r="O347" s="157" t="s">
        <v>496</v>
      </c>
      <c r="P347" s="163" t="s">
        <v>1752</v>
      </c>
    </row>
    <row r="348" s="92" customFormat="1" ht="20.1" customHeight="1" spans="1:16">
      <c r="A348" s="157" t="s">
        <v>1753</v>
      </c>
      <c r="B348" s="266" t="s">
        <v>1114</v>
      </c>
      <c r="C348" s="267"/>
      <c r="D348" s="268">
        <f t="shared" si="66"/>
        <v>0</v>
      </c>
      <c r="E348" s="267"/>
      <c r="F348" s="267"/>
      <c r="G348" s="267"/>
      <c r="H348" s="267"/>
      <c r="I348" s="287"/>
      <c r="J348" s="288">
        <f t="shared" si="67"/>
        <v>0</v>
      </c>
      <c r="K348" s="276" t="s">
        <v>1087</v>
      </c>
      <c r="L348" s="33">
        <v>1</v>
      </c>
      <c r="M348" s="157" t="s">
        <v>1753</v>
      </c>
      <c r="N348" s="157"/>
      <c r="O348" s="157" t="s">
        <v>496</v>
      </c>
      <c r="P348" s="164" t="s">
        <v>1115</v>
      </c>
    </row>
    <row r="349" s="92" customFormat="1" ht="20.1" customHeight="1" spans="1:16">
      <c r="A349" s="157" t="s">
        <v>1754</v>
      </c>
      <c r="B349" s="266" t="s">
        <v>1755</v>
      </c>
      <c r="C349" s="267"/>
      <c r="D349" s="268">
        <f t="shared" si="66"/>
        <v>0</v>
      </c>
      <c r="E349" s="267"/>
      <c r="F349" s="267"/>
      <c r="G349" s="267"/>
      <c r="H349" s="267"/>
      <c r="I349" s="287"/>
      <c r="J349" s="288">
        <f t="shared" si="67"/>
        <v>0</v>
      </c>
      <c r="K349" s="276" t="s">
        <v>1087</v>
      </c>
      <c r="L349" s="33">
        <v>1</v>
      </c>
      <c r="M349" s="157" t="s">
        <v>1754</v>
      </c>
      <c r="N349" s="157"/>
      <c r="O349" s="157" t="s">
        <v>496</v>
      </c>
      <c r="P349" s="163" t="s">
        <v>1756</v>
      </c>
    </row>
    <row r="350" s="93" customFormat="1" ht="20.1" customHeight="1" spans="1:16">
      <c r="A350" s="263" t="s">
        <v>497</v>
      </c>
      <c r="B350" s="264" t="s">
        <v>263</v>
      </c>
      <c r="C350" s="265">
        <f t="shared" ref="C350:I350" si="71">SUM(C351:C363)</f>
        <v>878</v>
      </c>
      <c r="D350" s="265">
        <f t="shared" si="66"/>
        <v>803</v>
      </c>
      <c r="E350" s="265">
        <f t="shared" si="71"/>
        <v>8</v>
      </c>
      <c r="F350" s="265">
        <f t="shared" si="71"/>
        <v>0</v>
      </c>
      <c r="G350" s="265">
        <f t="shared" si="71"/>
        <v>71</v>
      </c>
      <c r="H350" s="265">
        <f t="shared" si="71"/>
        <v>0</v>
      </c>
      <c r="I350" s="265">
        <f t="shared" si="71"/>
        <v>724</v>
      </c>
      <c r="J350" s="283">
        <f t="shared" si="67"/>
        <v>91.46</v>
      </c>
      <c r="K350" s="284" t="s">
        <v>1082</v>
      </c>
      <c r="L350" s="285"/>
      <c r="M350" s="263" t="s">
        <v>497</v>
      </c>
      <c r="N350" s="263" t="s">
        <v>491</v>
      </c>
      <c r="O350" s="263" t="s">
        <v>497</v>
      </c>
      <c r="P350" s="286" t="s">
        <v>1757</v>
      </c>
    </row>
    <row r="351" s="92" customFormat="1" ht="20.1" customHeight="1" spans="1:16">
      <c r="A351" s="157" t="s">
        <v>1758</v>
      </c>
      <c r="B351" s="269" t="s">
        <v>1086</v>
      </c>
      <c r="C351" s="267">
        <v>688</v>
      </c>
      <c r="D351" s="268">
        <f t="shared" si="66"/>
        <v>666</v>
      </c>
      <c r="E351" s="267"/>
      <c r="F351" s="267"/>
      <c r="G351" s="267"/>
      <c r="H351" s="267"/>
      <c r="I351" s="287">
        <v>666</v>
      </c>
      <c r="J351" s="288">
        <f t="shared" si="67"/>
        <v>96.8</v>
      </c>
      <c r="K351" s="276" t="s">
        <v>1087</v>
      </c>
      <c r="L351" s="33">
        <v>1</v>
      </c>
      <c r="M351" s="157" t="s">
        <v>1758</v>
      </c>
      <c r="N351" s="157"/>
      <c r="O351" s="157" t="s">
        <v>497</v>
      </c>
      <c r="P351" s="164" t="s">
        <v>1088</v>
      </c>
    </row>
    <row r="352" s="92" customFormat="1" ht="20.1" customHeight="1" spans="1:16">
      <c r="A352" s="157" t="s">
        <v>1759</v>
      </c>
      <c r="B352" s="269" t="s">
        <v>1090</v>
      </c>
      <c r="C352" s="267"/>
      <c r="D352" s="268">
        <f t="shared" si="66"/>
        <v>0</v>
      </c>
      <c r="E352" s="267"/>
      <c r="F352" s="267"/>
      <c r="G352" s="267"/>
      <c r="H352" s="267"/>
      <c r="I352" s="287"/>
      <c r="J352" s="288">
        <f t="shared" si="67"/>
        <v>0</v>
      </c>
      <c r="K352" s="276" t="s">
        <v>1087</v>
      </c>
      <c r="L352" s="33">
        <v>1</v>
      </c>
      <c r="M352" s="157" t="s">
        <v>1759</v>
      </c>
      <c r="N352" s="157"/>
      <c r="O352" s="157" t="s">
        <v>497</v>
      </c>
      <c r="P352" s="164" t="s">
        <v>1091</v>
      </c>
    </row>
    <row r="353" s="92" customFormat="1" ht="20.1" customHeight="1" spans="1:16">
      <c r="A353" s="157" t="s">
        <v>1760</v>
      </c>
      <c r="B353" s="269" t="s">
        <v>1093</v>
      </c>
      <c r="C353" s="267"/>
      <c r="D353" s="268">
        <f t="shared" si="66"/>
        <v>0</v>
      </c>
      <c r="E353" s="267"/>
      <c r="F353" s="267"/>
      <c r="G353" s="267"/>
      <c r="H353" s="267"/>
      <c r="I353" s="287"/>
      <c r="J353" s="288">
        <f t="shared" si="67"/>
        <v>0</v>
      </c>
      <c r="K353" s="276" t="s">
        <v>1087</v>
      </c>
      <c r="L353" s="33">
        <v>1</v>
      </c>
      <c r="M353" s="157" t="s">
        <v>1760</v>
      </c>
      <c r="N353" s="157"/>
      <c r="O353" s="157" t="s">
        <v>497</v>
      </c>
      <c r="P353" s="164" t="s">
        <v>1094</v>
      </c>
    </row>
    <row r="354" s="92" customFormat="1" ht="20.1" customHeight="1" spans="1:16">
      <c r="A354" s="157" t="s">
        <v>1761</v>
      </c>
      <c r="B354" s="36" t="s">
        <v>1762</v>
      </c>
      <c r="C354" s="267">
        <v>8</v>
      </c>
      <c r="D354" s="268">
        <f t="shared" si="66"/>
        <v>9</v>
      </c>
      <c r="E354" s="267"/>
      <c r="F354" s="267"/>
      <c r="G354" s="267">
        <v>9</v>
      </c>
      <c r="H354" s="267"/>
      <c r="I354" s="287"/>
      <c r="J354" s="288">
        <f t="shared" si="67"/>
        <v>112.5</v>
      </c>
      <c r="K354" s="276" t="s">
        <v>1087</v>
      </c>
      <c r="L354" s="33">
        <v>1</v>
      </c>
      <c r="M354" s="157" t="s">
        <v>1761</v>
      </c>
      <c r="N354" s="157"/>
      <c r="O354" s="157" t="s">
        <v>497</v>
      </c>
      <c r="P354" s="163" t="s">
        <v>1763</v>
      </c>
    </row>
    <row r="355" s="92" customFormat="1" ht="20.1" customHeight="1" spans="1:16">
      <c r="A355" s="157" t="s">
        <v>1764</v>
      </c>
      <c r="B355" s="266" t="s">
        <v>1765</v>
      </c>
      <c r="C355" s="267"/>
      <c r="D355" s="268">
        <f t="shared" si="66"/>
        <v>32</v>
      </c>
      <c r="E355" s="267"/>
      <c r="F355" s="267"/>
      <c r="G355" s="267"/>
      <c r="H355" s="267"/>
      <c r="I355" s="287">
        <v>32</v>
      </c>
      <c r="J355" s="288">
        <f t="shared" si="67"/>
        <v>100</v>
      </c>
      <c r="K355" s="276" t="s">
        <v>1087</v>
      </c>
      <c r="L355" s="33">
        <v>1</v>
      </c>
      <c r="M355" s="157" t="s">
        <v>1764</v>
      </c>
      <c r="N355" s="157"/>
      <c r="O355" s="157" t="s">
        <v>497</v>
      </c>
      <c r="P355" s="163" t="s">
        <v>1766</v>
      </c>
    </row>
    <row r="356" s="92" customFormat="1" ht="20.1" customHeight="1" spans="1:16">
      <c r="A356" s="157" t="s">
        <v>1767</v>
      </c>
      <c r="B356" s="266" t="s">
        <v>1768</v>
      </c>
      <c r="C356" s="267">
        <v>5</v>
      </c>
      <c r="D356" s="268">
        <f t="shared" si="66"/>
        <v>34</v>
      </c>
      <c r="E356" s="267">
        <v>8</v>
      </c>
      <c r="F356" s="267"/>
      <c r="G356" s="267"/>
      <c r="H356" s="267"/>
      <c r="I356" s="287">
        <v>26</v>
      </c>
      <c r="J356" s="288">
        <f t="shared" si="67"/>
        <v>680</v>
      </c>
      <c r="K356" s="276" t="s">
        <v>1087</v>
      </c>
      <c r="L356" s="33">
        <v>1</v>
      </c>
      <c r="M356" s="157" t="s">
        <v>1767</v>
      </c>
      <c r="N356" s="157"/>
      <c r="O356" s="157" t="s">
        <v>497</v>
      </c>
      <c r="P356" s="163" t="s">
        <v>1769</v>
      </c>
    </row>
    <row r="357" s="92" customFormat="1" ht="20.1" customHeight="1" spans="1:16">
      <c r="A357" s="157" t="s">
        <v>1770</v>
      </c>
      <c r="B357" s="266" t="s">
        <v>1771</v>
      </c>
      <c r="C357" s="267">
        <v>15</v>
      </c>
      <c r="D357" s="268">
        <f t="shared" si="66"/>
        <v>0</v>
      </c>
      <c r="E357" s="267"/>
      <c r="F357" s="267"/>
      <c r="G357" s="267"/>
      <c r="H357" s="267"/>
      <c r="I357" s="287"/>
      <c r="J357" s="288">
        <f t="shared" si="67"/>
        <v>-100</v>
      </c>
      <c r="K357" s="276" t="s">
        <v>1087</v>
      </c>
      <c r="L357" s="33">
        <v>1</v>
      </c>
      <c r="M357" s="157" t="s">
        <v>1770</v>
      </c>
      <c r="N357" s="157"/>
      <c r="O357" s="157" t="s">
        <v>497</v>
      </c>
      <c r="P357" s="163" t="s">
        <v>1772</v>
      </c>
    </row>
    <row r="358" s="92" customFormat="1" ht="20.1" customHeight="1" spans="1:16">
      <c r="A358" s="157" t="s">
        <v>1773</v>
      </c>
      <c r="B358" s="269" t="s">
        <v>1774</v>
      </c>
      <c r="C358" s="267"/>
      <c r="D358" s="268">
        <f t="shared" si="66"/>
        <v>0</v>
      </c>
      <c r="E358" s="267"/>
      <c r="F358" s="267"/>
      <c r="G358" s="267"/>
      <c r="H358" s="267"/>
      <c r="I358" s="287"/>
      <c r="J358" s="288">
        <f t="shared" si="67"/>
        <v>0</v>
      </c>
      <c r="K358" s="276" t="s">
        <v>1087</v>
      </c>
      <c r="L358" s="33">
        <v>1</v>
      </c>
      <c r="M358" s="157" t="s">
        <v>1773</v>
      </c>
      <c r="N358" s="157"/>
      <c r="O358" s="157" t="s">
        <v>497</v>
      </c>
      <c r="P358" s="163" t="s">
        <v>1775</v>
      </c>
    </row>
    <row r="359" s="92" customFormat="1" ht="20.1" customHeight="1" spans="1:16">
      <c r="A359" s="157" t="s">
        <v>1776</v>
      </c>
      <c r="B359" s="269" t="s">
        <v>1777</v>
      </c>
      <c r="C359" s="267"/>
      <c r="D359" s="268">
        <f t="shared" si="66"/>
        <v>0</v>
      </c>
      <c r="E359" s="267"/>
      <c r="F359" s="267"/>
      <c r="G359" s="267"/>
      <c r="H359" s="267"/>
      <c r="I359" s="287"/>
      <c r="J359" s="288">
        <f t="shared" si="67"/>
        <v>0</v>
      </c>
      <c r="K359" s="276" t="s">
        <v>1087</v>
      </c>
      <c r="L359" s="33">
        <v>1</v>
      </c>
      <c r="M359" s="157" t="s">
        <v>1776</v>
      </c>
      <c r="N359" s="157"/>
      <c r="O359" s="157" t="s">
        <v>497</v>
      </c>
      <c r="P359" s="163" t="s">
        <v>1778</v>
      </c>
    </row>
    <row r="360" s="92" customFormat="1" ht="20.1" customHeight="1" spans="1:16">
      <c r="A360" s="157" t="s">
        <v>1779</v>
      </c>
      <c r="B360" s="269" t="s">
        <v>1780</v>
      </c>
      <c r="C360" s="267"/>
      <c r="D360" s="268">
        <f t="shared" si="66"/>
        <v>0</v>
      </c>
      <c r="E360" s="267"/>
      <c r="F360" s="267"/>
      <c r="G360" s="267"/>
      <c r="H360" s="267"/>
      <c r="I360" s="287"/>
      <c r="J360" s="288">
        <f t="shared" si="67"/>
        <v>0</v>
      </c>
      <c r="K360" s="276" t="s">
        <v>1087</v>
      </c>
      <c r="L360" s="33">
        <v>1</v>
      </c>
      <c r="M360" s="157" t="s">
        <v>1779</v>
      </c>
      <c r="N360" s="157"/>
      <c r="O360" s="157" t="s">
        <v>497</v>
      </c>
      <c r="P360" s="164" t="s">
        <v>1781</v>
      </c>
    </row>
    <row r="361" s="92" customFormat="1" ht="20.1" customHeight="1" spans="1:16">
      <c r="A361" s="157" t="s">
        <v>1782</v>
      </c>
      <c r="B361" s="269" t="s">
        <v>1217</v>
      </c>
      <c r="C361" s="267"/>
      <c r="D361" s="268">
        <f t="shared" si="66"/>
        <v>0</v>
      </c>
      <c r="E361" s="267"/>
      <c r="F361" s="267"/>
      <c r="G361" s="267"/>
      <c r="H361" s="267"/>
      <c r="I361" s="287"/>
      <c r="J361" s="288">
        <f t="shared" si="67"/>
        <v>0</v>
      </c>
      <c r="K361" s="276" t="s">
        <v>1087</v>
      </c>
      <c r="L361" s="33">
        <v>1</v>
      </c>
      <c r="M361" s="157" t="s">
        <v>1782</v>
      </c>
      <c r="N361" s="157"/>
      <c r="O361" s="157" t="s">
        <v>497</v>
      </c>
      <c r="P361" s="164" t="s">
        <v>1218</v>
      </c>
    </row>
    <row r="362" s="92" customFormat="1" ht="20.1" customHeight="1" spans="1:16">
      <c r="A362" s="157" t="s">
        <v>1783</v>
      </c>
      <c r="B362" s="269" t="s">
        <v>1114</v>
      </c>
      <c r="C362" s="267"/>
      <c r="D362" s="268">
        <f t="shared" si="66"/>
        <v>0</v>
      </c>
      <c r="E362" s="267"/>
      <c r="F362" s="267"/>
      <c r="G362" s="267"/>
      <c r="H362" s="267"/>
      <c r="I362" s="287"/>
      <c r="J362" s="288">
        <f t="shared" si="67"/>
        <v>0</v>
      </c>
      <c r="K362" s="276" t="s">
        <v>1087</v>
      </c>
      <c r="L362" s="33">
        <v>1</v>
      </c>
      <c r="M362" s="157" t="s">
        <v>1783</v>
      </c>
      <c r="N362" s="157"/>
      <c r="O362" s="157" t="s">
        <v>497</v>
      </c>
      <c r="P362" s="164" t="s">
        <v>1115</v>
      </c>
    </row>
    <row r="363" s="92" customFormat="1" ht="20.1" customHeight="1" spans="1:16">
      <c r="A363" s="157" t="s">
        <v>1784</v>
      </c>
      <c r="B363" s="266" t="s">
        <v>1785</v>
      </c>
      <c r="C363" s="267">
        <v>162</v>
      </c>
      <c r="D363" s="268">
        <f t="shared" si="66"/>
        <v>62</v>
      </c>
      <c r="E363" s="267"/>
      <c r="F363" s="267"/>
      <c r="G363" s="267">
        <v>62</v>
      </c>
      <c r="H363" s="267"/>
      <c r="I363" s="287"/>
      <c r="J363" s="288">
        <f t="shared" si="67"/>
        <v>38.27</v>
      </c>
      <c r="K363" s="276" t="s">
        <v>1087</v>
      </c>
      <c r="L363" s="33">
        <v>1</v>
      </c>
      <c r="M363" s="157" t="s">
        <v>1784</v>
      </c>
      <c r="N363" s="157"/>
      <c r="O363" s="157" t="s">
        <v>497</v>
      </c>
      <c r="P363" s="163" t="s">
        <v>1786</v>
      </c>
    </row>
    <row r="364" s="93" customFormat="1" ht="20.1" customHeight="1" spans="1:16">
      <c r="A364" s="263" t="s">
        <v>498</v>
      </c>
      <c r="B364" s="264" t="s">
        <v>264</v>
      </c>
      <c r="C364" s="265">
        <v>0</v>
      </c>
      <c r="D364" s="265">
        <f t="shared" si="66"/>
        <v>0</v>
      </c>
      <c r="E364" s="265">
        <f t="shared" ref="E364:H364" si="72">SUM(E365:E373)</f>
        <v>0</v>
      </c>
      <c r="F364" s="265">
        <f t="shared" si="72"/>
        <v>0</v>
      </c>
      <c r="G364" s="265">
        <f>VLOOKUP(A364,[1]√表四、2024年公共财政支出变动表!$A$7:$R$214,18,FALSE)</f>
        <v>0</v>
      </c>
      <c r="H364" s="265">
        <f t="shared" si="72"/>
        <v>0</v>
      </c>
      <c r="I364" s="265"/>
      <c r="J364" s="283">
        <f t="shared" si="67"/>
        <v>0</v>
      </c>
      <c r="K364" s="284" t="s">
        <v>1082</v>
      </c>
      <c r="L364" s="285"/>
      <c r="M364" s="263" t="s">
        <v>498</v>
      </c>
      <c r="N364" s="263" t="s">
        <v>491</v>
      </c>
      <c r="O364" s="263" t="s">
        <v>498</v>
      </c>
      <c r="P364" s="286" t="s">
        <v>1787</v>
      </c>
    </row>
    <row r="365" s="92" customFormat="1" ht="20.1" customHeight="1" spans="1:16">
      <c r="A365" s="157" t="s">
        <v>1788</v>
      </c>
      <c r="B365" s="266" t="s">
        <v>1086</v>
      </c>
      <c r="C365" s="267">
        <v>0</v>
      </c>
      <c r="D365" s="268">
        <f t="shared" si="66"/>
        <v>0</v>
      </c>
      <c r="E365" s="267"/>
      <c r="F365" s="267"/>
      <c r="G365" s="267"/>
      <c r="H365" s="267"/>
      <c r="I365" s="287"/>
      <c r="J365" s="288">
        <f t="shared" si="67"/>
        <v>0</v>
      </c>
      <c r="K365" s="276" t="s">
        <v>1087</v>
      </c>
      <c r="L365" s="33">
        <v>1</v>
      </c>
      <c r="M365" s="157" t="s">
        <v>1788</v>
      </c>
      <c r="N365" s="157"/>
      <c r="O365" s="157" t="s">
        <v>498</v>
      </c>
      <c r="P365" s="164" t="s">
        <v>1088</v>
      </c>
    </row>
    <row r="366" s="92" customFormat="1" ht="20.1" customHeight="1" spans="1:16">
      <c r="A366" s="157" t="s">
        <v>1789</v>
      </c>
      <c r="B366" s="269" t="s">
        <v>1090</v>
      </c>
      <c r="C366" s="267">
        <v>0</v>
      </c>
      <c r="D366" s="268">
        <f t="shared" si="66"/>
        <v>0</v>
      </c>
      <c r="E366" s="267"/>
      <c r="F366" s="267"/>
      <c r="G366" s="267"/>
      <c r="H366" s="267"/>
      <c r="I366" s="287"/>
      <c r="J366" s="288">
        <f t="shared" si="67"/>
        <v>0</v>
      </c>
      <c r="K366" s="276" t="s">
        <v>1087</v>
      </c>
      <c r="L366" s="33">
        <v>1</v>
      </c>
      <c r="M366" s="157" t="s">
        <v>1789</v>
      </c>
      <c r="N366" s="157"/>
      <c r="O366" s="157" t="s">
        <v>498</v>
      </c>
      <c r="P366" s="164" t="s">
        <v>1091</v>
      </c>
    </row>
    <row r="367" s="92" customFormat="1" ht="20.1" customHeight="1" spans="1:16">
      <c r="A367" s="157" t="s">
        <v>1790</v>
      </c>
      <c r="B367" s="269" t="s">
        <v>1093</v>
      </c>
      <c r="C367" s="267">
        <v>0</v>
      </c>
      <c r="D367" s="268">
        <f t="shared" si="66"/>
        <v>0</v>
      </c>
      <c r="E367" s="267"/>
      <c r="F367" s="267"/>
      <c r="G367" s="267"/>
      <c r="H367" s="267"/>
      <c r="I367" s="287"/>
      <c r="J367" s="288">
        <f t="shared" si="67"/>
        <v>0</v>
      </c>
      <c r="K367" s="276" t="s">
        <v>1087</v>
      </c>
      <c r="L367" s="33">
        <v>1</v>
      </c>
      <c r="M367" s="157" t="s">
        <v>1790</v>
      </c>
      <c r="N367" s="157"/>
      <c r="O367" s="157" t="s">
        <v>498</v>
      </c>
      <c r="P367" s="164" t="s">
        <v>1094</v>
      </c>
    </row>
    <row r="368" s="92" customFormat="1" ht="20.1" customHeight="1" spans="1:16">
      <c r="A368" s="157" t="s">
        <v>1791</v>
      </c>
      <c r="B368" s="269" t="s">
        <v>1792</v>
      </c>
      <c r="C368" s="267">
        <v>0</v>
      </c>
      <c r="D368" s="268">
        <f t="shared" si="66"/>
        <v>0</v>
      </c>
      <c r="E368" s="267"/>
      <c r="F368" s="267"/>
      <c r="G368" s="267"/>
      <c r="H368" s="267"/>
      <c r="I368" s="287"/>
      <c r="J368" s="288">
        <f t="shared" si="67"/>
        <v>0</v>
      </c>
      <c r="K368" s="276" t="s">
        <v>1087</v>
      </c>
      <c r="L368" s="33">
        <v>1</v>
      </c>
      <c r="M368" s="157" t="s">
        <v>1791</v>
      </c>
      <c r="N368" s="157"/>
      <c r="O368" s="157" t="s">
        <v>498</v>
      </c>
      <c r="P368" s="163" t="s">
        <v>1793</v>
      </c>
    </row>
    <row r="369" s="92" customFormat="1" ht="20.1" customHeight="1" spans="1:16">
      <c r="A369" s="157" t="s">
        <v>1794</v>
      </c>
      <c r="B369" s="36" t="s">
        <v>1795</v>
      </c>
      <c r="C369" s="267">
        <v>0</v>
      </c>
      <c r="D369" s="268">
        <f t="shared" si="66"/>
        <v>0</v>
      </c>
      <c r="E369" s="267"/>
      <c r="F369" s="267"/>
      <c r="G369" s="267"/>
      <c r="H369" s="267"/>
      <c r="I369" s="287"/>
      <c r="J369" s="288">
        <f t="shared" si="67"/>
        <v>0</v>
      </c>
      <c r="K369" s="276" t="s">
        <v>1087</v>
      </c>
      <c r="L369" s="33">
        <v>1</v>
      </c>
      <c r="M369" s="157" t="s">
        <v>1794</v>
      </c>
      <c r="N369" s="157"/>
      <c r="O369" s="157" t="s">
        <v>498</v>
      </c>
      <c r="P369" s="163" t="s">
        <v>1796</v>
      </c>
    </row>
    <row r="370" s="92" customFormat="1" ht="20.1" customHeight="1" spans="1:16">
      <c r="A370" s="157" t="s">
        <v>1797</v>
      </c>
      <c r="B370" s="266" t="s">
        <v>1798</v>
      </c>
      <c r="C370" s="267">
        <v>0</v>
      </c>
      <c r="D370" s="268">
        <f t="shared" si="66"/>
        <v>0</v>
      </c>
      <c r="E370" s="267"/>
      <c r="F370" s="267"/>
      <c r="G370" s="267"/>
      <c r="H370" s="267"/>
      <c r="I370" s="287"/>
      <c r="J370" s="288">
        <f t="shared" si="67"/>
        <v>0</v>
      </c>
      <c r="K370" s="276" t="s">
        <v>1087</v>
      </c>
      <c r="L370" s="33">
        <v>1</v>
      </c>
      <c r="M370" s="157" t="s">
        <v>1797</v>
      </c>
      <c r="N370" s="157"/>
      <c r="O370" s="157" t="s">
        <v>498</v>
      </c>
      <c r="P370" s="163" t="s">
        <v>1799</v>
      </c>
    </row>
    <row r="371" s="92" customFormat="1" ht="20.1" customHeight="1" spans="1:16">
      <c r="A371" s="157" t="s">
        <v>1800</v>
      </c>
      <c r="B371" s="266" t="s">
        <v>1217</v>
      </c>
      <c r="C371" s="267">
        <v>0</v>
      </c>
      <c r="D371" s="268">
        <f t="shared" si="66"/>
        <v>0</v>
      </c>
      <c r="E371" s="267"/>
      <c r="F371" s="267"/>
      <c r="G371" s="267"/>
      <c r="H371" s="267"/>
      <c r="I371" s="287"/>
      <c r="J371" s="288">
        <f t="shared" si="67"/>
        <v>0</v>
      </c>
      <c r="K371" s="276" t="s">
        <v>1087</v>
      </c>
      <c r="L371" s="33">
        <v>1</v>
      </c>
      <c r="M371" s="157" t="s">
        <v>1800</v>
      </c>
      <c r="N371" s="157"/>
      <c r="O371" s="157" t="s">
        <v>498</v>
      </c>
      <c r="P371" s="164" t="s">
        <v>1218</v>
      </c>
    </row>
    <row r="372" s="92" customFormat="1" ht="20.1" customHeight="1" spans="1:16">
      <c r="A372" s="157" t="s">
        <v>1801</v>
      </c>
      <c r="B372" s="266" t="s">
        <v>1114</v>
      </c>
      <c r="C372" s="267">
        <v>0</v>
      </c>
      <c r="D372" s="268">
        <f t="shared" si="66"/>
        <v>0</v>
      </c>
      <c r="E372" s="267"/>
      <c r="F372" s="267"/>
      <c r="G372" s="267"/>
      <c r="H372" s="267"/>
      <c r="I372" s="287"/>
      <c r="J372" s="288">
        <f t="shared" si="67"/>
        <v>0</v>
      </c>
      <c r="K372" s="276" t="s">
        <v>1087</v>
      </c>
      <c r="L372" s="33">
        <v>1</v>
      </c>
      <c r="M372" s="157" t="s">
        <v>1801</v>
      </c>
      <c r="N372" s="157"/>
      <c r="O372" s="157" t="s">
        <v>498</v>
      </c>
      <c r="P372" s="164" t="s">
        <v>1115</v>
      </c>
    </row>
    <row r="373" s="92" customFormat="1" ht="20.1" customHeight="1" spans="1:16">
      <c r="A373" s="157" t="s">
        <v>1802</v>
      </c>
      <c r="B373" s="266" t="s">
        <v>1803</v>
      </c>
      <c r="C373" s="267">
        <v>0</v>
      </c>
      <c r="D373" s="268">
        <f t="shared" si="66"/>
        <v>0</v>
      </c>
      <c r="E373" s="267"/>
      <c r="F373" s="267"/>
      <c r="G373" s="267"/>
      <c r="H373" s="267"/>
      <c r="I373" s="287"/>
      <c r="J373" s="288">
        <f t="shared" si="67"/>
        <v>0</v>
      </c>
      <c r="K373" s="276" t="s">
        <v>1087</v>
      </c>
      <c r="L373" s="33">
        <v>1</v>
      </c>
      <c r="M373" s="157" t="s">
        <v>1802</v>
      </c>
      <c r="N373" s="157"/>
      <c r="O373" s="157" t="s">
        <v>498</v>
      </c>
      <c r="P373" s="163" t="s">
        <v>1804</v>
      </c>
    </row>
    <row r="374" s="93" customFormat="1" ht="20.1" customHeight="1" spans="1:16">
      <c r="A374" s="263" t="s">
        <v>499</v>
      </c>
      <c r="B374" s="264" t="s">
        <v>265</v>
      </c>
      <c r="C374" s="265">
        <v>0</v>
      </c>
      <c r="D374" s="265">
        <f t="shared" si="66"/>
        <v>0</v>
      </c>
      <c r="E374" s="265">
        <f t="shared" ref="E374:H374" si="73">SUM(E375:E383)</f>
        <v>0</v>
      </c>
      <c r="F374" s="265">
        <f t="shared" si="73"/>
        <v>0</v>
      </c>
      <c r="G374" s="265">
        <f>VLOOKUP(A374,[1]√表四、2024年公共财政支出变动表!$A$7:$R$214,18,FALSE)</f>
        <v>0</v>
      </c>
      <c r="H374" s="265">
        <f t="shared" si="73"/>
        <v>0</v>
      </c>
      <c r="I374" s="265"/>
      <c r="J374" s="283">
        <f t="shared" si="67"/>
        <v>0</v>
      </c>
      <c r="K374" s="284" t="s">
        <v>1082</v>
      </c>
      <c r="L374" s="285"/>
      <c r="M374" s="263" t="s">
        <v>499</v>
      </c>
      <c r="N374" s="263" t="s">
        <v>491</v>
      </c>
      <c r="O374" s="263" t="s">
        <v>499</v>
      </c>
      <c r="P374" s="286" t="s">
        <v>1805</v>
      </c>
    </row>
    <row r="375" s="92" customFormat="1" ht="20.1" customHeight="1" spans="1:16">
      <c r="A375" s="157" t="s">
        <v>1806</v>
      </c>
      <c r="B375" s="269" t="s">
        <v>1086</v>
      </c>
      <c r="C375" s="267">
        <v>0</v>
      </c>
      <c r="D375" s="268">
        <f t="shared" si="66"/>
        <v>0</v>
      </c>
      <c r="E375" s="267"/>
      <c r="F375" s="267"/>
      <c r="G375" s="267"/>
      <c r="H375" s="267"/>
      <c r="I375" s="287"/>
      <c r="J375" s="288">
        <f t="shared" si="67"/>
        <v>0</v>
      </c>
      <c r="K375" s="276" t="s">
        <v>1087</v>
      </c>
      <c r="L375" s="33">
        <v>1</v>
      </c>
      <c r="M375" s="157" t="s">
        <v>1806</v>
      </c>
      <c r="N375" s="157"/>
      <c r="O375" s="157" t="s">
        <v>499</v>
      </c>
      <c r="P375" s="164" t="s">
        <v>1088</v>
      </c>
    </row>
    <row r="376" s="92" customFormat="1" ht="20.1" customHeight="1" spans="1:16">
      <c r="A376" s="157" t="s">
        <v>1807</v>
      </c>
      <c r="B376" s="269" t="s">
        <v>1090</v>
      </c>
      <c r="C376" s="267">
        <v>0</v>
      </c>
      <c r="D376" s="268">
        <f t="shared" si="66"/>
        <v>0</v>
      </c>
      <c r="E376" s="267"/>
      <c r="F376" s="267"/>
      <c r="G376" s="267"/>
      <c r="H376" s="267"/>
      <c r="I376" s="287"/>
      <c r="J376" s="288">
        <f t="shared" si="67"/>
        <v>0</v>
      </c>
      <c r="K376" s="276" t="s">
        <v>1087</v>
      </c>
      <c r="L376" s="33">
        <v>1</v>
      </c>
      <c r="M376" s="157" t="s">
        <v>1807</v>
      </c>
      <c r="N376" s="157"/>
      <c r="O376" s="157" t="s">
        <v>499</v>
      </c>
      <c r="P376" s="164" t="s">
        <v>1091</v>
      </c>
    </row>
    <row r="377" s="92" customFormat="1" ht="20.1" customHeight="1" spans="1:16">
      <c r="A377" s="157" t="s">
        <v>1808</v>
      </c>
      <c r="B377" s="266" t="s">
        <v>1093</v>
      </c>
      <c r="C377" s="267">
        <v>0</v>
      </c>
      <c r="D377" s="268">
        <f t="shared" si="66"/>
        <v>0</v>
      </c>
      <c r="E377" s="267"/>
      <c r="F377" s="267"/>
      <c r="G377" s="267"/>
      <c r="H377" s="267"/>
      <c r="I377" s="287"/>
      <c r="J377" s="288">
        <f t="shared" si="67"/>
        <v>0</v>
      </c>
      <c r="K377" s="276" t="s">
        <v>1087</v>
      </c>
      <c r="L377" s="33">
        <v>1</v>
      </c>
      <c r="M377" s="157" t="s">
        <v>1808</v>
      </c>
      <c r="N377" s="157"/>
      <c r="O377" s="157" t="s">
        <v>499</v>
      </c>
      <c r="P377" s="164" t="s">
        <v>1094</v>
      </c>
    </row>
    <row r="378" s="92" customFormat="1" ht="20.1" customHeight="1" spans="1:16">
      <c r="A378" s="157" t="s">
        <v>1809</v>
      </c>
      <c r="B378" s="266" t="s">
        <v>1810</v>
      </c>
      <c r="C378" s="267">
        <v>0</v>
      </c>
      <c r="D378" s="268">
        <f t="shared" si="66"/>
        <v>0</v>
      </c>
      <c r="E378" s="267"/>
      <c r="F378" s="267"/>
      <c r="G378" s="267"/>
      <c r="H378" s="267"/>
      <c r="I378" s="287"/>
      <c r="J378" s="288">
        <f t="shared" si="67"/>
        <v>0</v>
      </c>
      <c r="K378" s="276" t="s">
        <v>1087</v>
      </c>
      <c r="L378" s="33">
        <v>1</v>
      </c>
      <c r="M378" s="157" t="s">
        <v>1809</v>
      </c>
      <c r="N378" s="157"/>
      <c r="O378" s="157" t="s">
        <v>499</v>
      </c>
      <c r="P378" s="163" t="s">
        <v>1811</v>
      </c>
    </row>
    <row r="379" s="92" customFormat="1" ht="20.1" customHeight="1" spans="1:16">
      <c r="A379" s="157" t="s">
        <v>1812</v>
      </c>
      <c r="B379" s="266" t="s">
        <v>1813</v>
      </c>
      <c r="C379" s="267">
        <v>0</v>
      </c>
      <c r="D379" s="268">
        <f t="shared" si="66"/>
        <v>0</v>
      </c>
      <c r="E379" s="267"/>
      <c r="F379" s="267"/>
      <c r="G379" s="267"/>
      <c r="H379" s="267"/>
      <c r="I379" s="287"/>
      <c r="J379" s="288">
        <f t="shared" si="67"/>
        <v>0</v>
      </c>
      <c r="K379" s="276" t="s">
        <v>1087</v>
      </c>
      <c r="L379" s="33">
        <v>1</v>
      </c>
      <c r="M379" s="157" t="s">
        <v>1812</v>
      </c>
      <c r="N379" s="157"/>
      <c r="O379" s="157" t="s">
        <v>499</v>
      </c>
      <c r="P379" s="163" t="s">
        <v>1814</v>
      </c>
    </row>
    <row r="380" s="92" customFormat="1" ht="20.1" customHeight="1" spans="1:16">
      <c r="A380" s="157" t="s">
        <v>1815</v>
      </c>
      <c r="B380" s="269" t="s">
        <v>1816</v>
      </c>
      <c r="C380" s="267">
        <v>0</v>
      </c>
      <c r="D380" s="268">
        <f t="shared" si="66"/>
        <v>0</v>
      </c>
      <c r="E380" s="267"/>
      <c r="F380" s="267"/>
      <c r="G380" s="267"/>
      <c r="H380" s="267"/>
      <c r="I380" s="287"/>
      <c r="J380" s="288">
        <f t="shared" si="67"/>
        <v>0</v>
      </c>
      <c r="K380" s="276" t="s">
        <v>1087</v>
      </c>
      <c r="L380" s="33">
        <v>1</v>
      </c>
      <c r="M380" s="157" t="s">
        <v>1815</v>
      </c>
      <c r="N380" s="157"/>
      <c r="O380" s="157" t="s">
        <v>499</v>
      </c>
      <c r="P380" s="163" t="s">
        <v>1817</v>
      </c>
    </row>
    <row r="381" s="92" customFormat="1" ht="20.1" customHeight="1" spans="1:16">
      <c r="A381" s="157" t="s">
        <v>1818</v>
      </c>
      <c r="B381" s="269" t="s">
        <v>1217</v>
      </c>
      <c r="C381" s="267">
        <v>0</v>
      </c>
      <c r="D381" s="268">
        <f t="shared" si="66"/>
        <v>0</v>
      </c>
      <c r="E381" s="267"/>
      <c r="F381" s="267"/>
      <c r="G381" s="267"/>
      <c r="H381" s="267"/>
      <c r="I381" s="287"/>
      <c r="J381" s="288">
        <f t="shared" si="67"/>
        <v>0</v>
      </c>
      <c r="K381" s="276" t="s">
        <v>1087</v>
      </c>
      <c r="L381" s="33">
        <v>1</v>
      </c>
      <c r="M381" s="157" t="s">
        <v>1818</v>
      </c>
      <c r="N381" s="157"/>
      <c r="O381" s="157" t="s">
        <v>499</v>
      </c>
      <c r="P381" s="164" t="s">
        <v>1218</v>
      </c>
    </row>
    <row r="382" s="92" customFormat="1" ht="20.1" customHeight="1" spans="1:16">
      <c r="A382" s="157" t="s">
        <v>1819</v>
      </c>
      <c r="B382" s="269" t="s">
        <v>1114</v>
      </c>
      <c r="C382" s="267">
        <v>0</v>
      </c>
      <c r="D382" s="268">
        <f t="shared" si="66"/>
        <v>0</v>
      </c>
      <c r="E382" s="267"/>
      <c r="F382" s="267"/>
      <c r="G382" s="267"/>
      <c r="H382" s="267"/>
      <c r="I382" s="287"/>
      <c r="J382" s="288">
        <f t="shared" si="67"/>
        <v>0</v>
      </c>
      <c r="K382" s="276" t="s">
        <v>1087</v>
      </c>
      <c r="L382" s="33">
        <v>1</v>
      </c>
      <c r="M382" s="157" t="s">
        <v>1819</v>
      </c>
      <c r="N382" s="157"/>
      <c r="O382" s="157" t="s">
        <v>499</v>
      </c>
      <c r="P382" s="164" t="s">
        <v>1115</v>
      </c>
    </row>
    <row r="383" s="92" customFormat="1" ht="20.1" customHeight="1" spans="1:16">
      <c r="A383" s="157" t="s">
        <v>1820</v>
      </c>
      <c r="B383" s="269" t="s">
        <v>1821</v>
      </c>
      <c r="C383" s="267">
        <v>0</v>
      </c>
      <c r="D383" s="268">
        <f t="shared" si="66"/>
        <v>0</v>
      </c>
      <c r="E383" s="267"/>
      <c r="F383" s="267"/>
      <c r="G383" s="267"/>
      <c r="H383" s="267"/>
      <c r="I383" s="287"/>
      <c r="J383" s="288">
        <f t="shared" si="67"/>
        <v>0</v>
      </c>
      <c r="K383" s="276" t="s">
        <v>1087</v>
      </c>
      <c r="L383" s="33">
        <v>1</v>
      </c>
      <c r="M383" s="157" t="s">
        <v>1820</v>
      </c>
      <c r="N383" s="157"/>
      <c r="O383" s="157" t="s">
        <v>499</v>
      </c>
      <c r="P383" s="163" t="s">
        <v>1822</v>
      </c>
    </row>
    <row r="384" s="93" customFormat="1" ht="20.1" customHeight="1" spans="1:16">
      <c r="A384" s="263" t="s">
        <v>500</v>
      </c>
      <c r="B384" s="264" t="s">
        <v>266</v>
      </c>
      <c r="C384" s="265">
        <f t="shared" ref="C384:I384" si="74">SUM(C385:C391)</f>
        <v>0</v>
      </c>
      <c r="D384" s="265">
        <f t="shared" si="66"/>
        <v>0</v>
      </c>
      <c r="E384" s="265">
        <f t="shared" si="74"/>
        <v>0</v>
      </c>
      <c r="F384" s="265">
        <f t="shared" si="74"/>
        <v>0</v>
      </c>
      <c r="G384" s="265">
        <f t="shared" si="74"/>
        <v>0</v>
      </c>
      <c r="H384" s="265">
        <f t="shared" si="74"/>
        <v>0</v>
      </c>
      <c r="I384" s="265">
        <f t="shared" si="74"/>
        <v>0</v>
      </c>
      <c r="J384" s="283">
        <f t="shared" si="67"/>
        <v>0</v>
      </c>
      <c r="K384" s="284" t="s">
        <v>1082</v>
      </c>
      <c r="L384" s="285"/>
      <c r="M384" s="263" t="s">
        <v>500</v>
      </c>
      <c r="N384" s="263" t="s">
        <v>491</v>
      </c>
      <c r="O384" s="263" t="s">
        <v>500</v>
      </c>
      <c r="P384" s="286" t="s">
        <v>1823</v>
      </c>
    </row>
    <row r="385" s="92" customFormat="1" ht="20.1" customHeight="1" spans="1:16">
      <c r="A385" s="157" t="s">
        <v>1824</v>
      </c>
      <c r="B385" s="266" t="s">
        <v>1086</v>
      </c>
      <c r="C385" s="267">
        <v>0</v>
      </c>
      <c r="D385" s="268">
        <f t="shared" si="66"/>
        <v>0</v>
      </c>
      <c r="E385" s="267"/>
      <c r="F385" s="267"/>
      <c r="G385" s="267"/>
      <c r="H385" s="267"/>
      <c r="I385" s="287"/>
      <c r="J385" s="288">
        <f t="shared" si="67"/>
        <v>0</v>
      </c>
      <c r="K385" s="276" t="s">
        <v>1087</v>
      </c>
      <c r="L385" s="33">
        <v>1</v>
      </c>
      <c r="M385" s="157" t="s">
        <v>1824</v>
      </c>
      <c r="N385" s="157"/>
      <c r="O385" s="157" t="s">
        <v>500</v>
      </c>
      <c r="P385" s="164" t="s">
        <v>1088</v>
      </c>
    </row>
    <row r="386" s="92" customFormat="1" ht="20.1" customHeight="1" spans="1:16">
      <c r="A386" s="157" t="s">
        <v>1825</v>
      </c>
      <c r="B386" s="266" t="s">
        <v>1090</v>
      </c>
      <c r="C386" s="267">
        <v>0</v>
      </c>
      <c r="D386" s="268">
        <f t="shared" si="66"/>
        <v>0</v>
      </c>
      <c r="E386" s="267"/>
      <c r="F386" s="267"/>
      <c r="G386" s="267"/>
      <c r="H386" s="267"/>
      <c r="I386" s="287"/>
      <c r="J386" s="288">
        <f t="shared" si="67"/>
        <v>0</v>
      </c>
      <c r="K386" s="276" t="s">
        <v>1087</v>
      </c>
      <c r="L386" s="33">
        <v>1</v>
      </c>
      <c r="M386" s="157" t="s">
        <v>1825</v>
      </c>
      <c r="N386" s="157"/>
      <c r="O386" s="157" t="s">
        <v>500</v>
      </c>
      <c r="P386" s="164" t="s">
        <v>1091</v>
      </c>
    </row>
    <row r="387" s="92" customFormat="1" ht="20.1" customHeight="1" spans="1:16">
      <c r="A387" s="157" t="s">
        <v>1826</v>
      </c>
      <c r="B387" s="266" t="s">
        <v>1093</v>
      </c>
      <c r="C387" s="267">
        <v>0</v>
      </c>
      <c r="D387" s="268">
        <f t="shared" si="66"/>
        <v>0</v>
      </c>
      <c r="E387" s="267"/>
      <c r="F387" s="267"/>
      <c r="G387" s="267"/>
      <c r="H387" s="267"/>
      <c r="I387" s="287"/>
      <c r="J387" s="288">
        <f t="shared" si="67"/>
        <v>0</v>
      </c>
      <c r="K387" s="276" t="s">
        <v>1087</v>
      </c>
      <c r="L387" s="33">
        <v>1</v>
      </c>
      <c r="M387" s="157" t="s">
        <v>1826</v>
      </c>
      <c r="N387" s="157"/>
      <c r="O387" s="157" t="s">
        <v>500</v>
      </c>
      <c r="P387" s="164" t="s">
        <v>1094</v>
      </c>
    </row>
    <row r="388" s="92" customFormat="1" ht="20.1" customHeight="1" spans="1:16">
      <c r="A388" s="157" t="s">
        <v>1827</v>
      </c>
      <c r="B388" s="269" t="s">
        <v>1828</v>
      </c>
      <c r="C388" s="267">
        <v>0</v>
      </c>
      <c r="D388" s="268">
        <f t="shared" ref="D388:D451" si="75">SUM(E388:I388)</f>
        <v>0</v>
      </c>
      <c r="E388" s="267"/>
      <c r="F388" s="267"/>
      <c r="G388" s="267"/>
      <c r="H388" s="267"/>
      <c r="I388" s="287"/>
      <c r="J388" s="288">
        <f t="shared" ref="J388:J398" si="76">ROUND(IF(C388=0,IF(D388=0,0,1),IF(D388=0,-1,D388/C388)),4)*100</f>
        <v>0</v>
      </c>
      <c r="K388" s="276" t="s">
        <v>1087</v>
      </c>
      <c r="L388" s="33">
        <v>1</v>
      </c>
      <c r="M388" s="157" t="s">
        <v>1827</v>
      </c>
      <c r="N388" s="157"/>
      <c r="O388" s="157" t="s">
        <v>500</v>
      </c>
      <c r="P388" s="163" t="s">
        <v>1829</v>
      </c>
    </row>
    <row r="389" s="92" customFormat="1" ht="20.1" customHeight="1" spans="1:16">
      <c r="A389" s="157" t="s">
        <v>1830</v>
      </c>
      <c r="B389" s="269" t="s">
        <v>1831</v>
      </c>
      <c r="C389" s="267">
        <v>0</v>
      </c>
      <c r="D389" s="268">
        <f t="shared" si="75"/>
        <v>0</v>
      </c>
      <c r="E389" s="267"/>
      <c r="F389" s="267"/>
      <c r="G389" s="267"/>
      <c r="H389" s="267"/>
      <c r="I389" s="287"/>
      <c r="J389" s="288">
        <f t="shared" si="76"/>
        <v>0</v>
      </c>
      <c r="K389" s="276" t="s">
        <v>1087</v>
      </c>
      <c r="L389" s="33">
        <v>1</v>
      </c>
      <c r="M389" s="157" t="s">
        <v>1830</v>
      </c>
      <c r="N389" s="157"/>
      <c r="O389" s="157" t="s">
        <v>500</v>
      </c>
      <c r="P389" s="163" t="s">
        <v>1832</v>
      </c>
    </row>
    <row r="390" s="92" customFormat="1" ht="20.1" customHeight="1" spans="1:16">
      <c r="A390" s="157" t="s">
        <v>1833</v>
      </c>
      <c r="B390" s="269" t="s">
        <v>1114</v>
      </c>
      <c r="C390" s="267">
        <v>0</v>
      </c>
      <c r="D390" s="268">
        <f t="shared" si="75"/>
        <v>0</v>
      </c>
      <c r="E390" s="267"/>
      <c r="F390" s="267"/>
      <c r="G390" s="267"/>
      <c r="H390" s="267"/>
      <c r="I390" s="287"/>
      <c r="J390" s="288">
        <f t="shared" si="76"/>
        <v>0</v>
      </c>
      <c r="K390" s="276" t="s">
        <v>1087</v>
      </c>
      <c r="L390" s="33">
        <v>1</v>
      </c>
      <c r="M390" s="157" t="s">
        <v>1833</v>
      </c>
      <c r="N390" s="157"/>
      <c r="O390" s="157" t="s">
        <v>500</v>
      </c>
      <c r="P390" s="164" t="s">
        <v>1115</v>
      </c>
    </row>
    <row r="391" s="92" customFormat="1" ht="20.1" customHeight="1" spans="1:16">
      <c r="A391" s="157" t="s">
        <v>1834</v>
      </c>
      <c r="B391" s="266" t="s">
        <v>1835</v>
      </c>
      <c r="C391" s="267">
        <v>0</v>
      </c>
      <c r="D391" s="268">
        <f t="shared" si="75"/>
        <v>0</v>
      </c>
      <c r="E391" s="267"/>
      <c r="F391" s="267"/>
      <c r="G391" s="267"/>
      <c r="H391" s="267"/>
      <c r="I391" s="287"/>
      <c r="J391" s="288">
        <f t="shared" si="76"/>
        <v>0</v>
      </c>
      <c r="K391" s="276" t="s">
        <v>1087</v>
      </c>
      <c r="L391" s="33">
        <v>1</v>
      </c>
      <c r="M391" s="157" t="s">
        <v>1834</v>
      </c>
      <c r="N391" s="157"/>
      <c r="O391" s="157" t="s">
        <v>500</v>
      </c>
      <c r="P391" s="163" t="s">
        <v>1836</v>
      </c>
    </row>
    <row r="392" s="93" customFormat="1" ht="20.1" customHeight="1" spans="1:16">
      <c r="A392" s="263" t="s">
        <v>501</v>
      </c>
      <c r="B392" s="264" t="s">
        <v>267</v>
      </c>
      <c r="C392" s="265">
        <f t="shared" ref="C392:I392" si="77">SUM(C393:C397)</f>
        <v>0</v>
      </c>
      <c r="D392" s="265">
        <f t="shared" si="75"/>
        <v>0</v>
      </c>
      <c r="E392" s="265">
        <f t="shared" si="77"/>
        <v>0</v>
      </c>
      <c r="F392" s="265">
        <f t="shared" si="77"/>
        <v>0</v>
      </c>
      <c r="G392" s="265">
        <f t="shared" si="77"/>
        <v>0</v>
      </c>
      <c r="H392" s="265">
        <f t="shared" si="77"/>
        <v>0</v>
      </c>
      <c r="I392" s="265">
        <f t="shared" si="77"/>
        <v>0</v>
      </c>
      <c r="J392" s="283">
        <f t="shared" si="76"/>
        <v>0</v>
      </c>
      <c r="K392" s="284" t="s">
        <v>1082</v>
      </c>
      <c r="L392" s="285"/>
      <c r="M392" s="263" t="s">
        <v>501</v>
      </c>
      <c r="N392" s="263" t="s">
        <v>491</v>
      </c>
      <c r="O392" s="263" t="s">
        <v>501</v>
      </c>
      <c r="P392" s="286" t="s">
        <v>1837</v>
      </c>
    </row>
    <row r="393" s="92" customFormat="1" ht="20.1" customHeight="1" spans="1:16">
      <c r="A393" s="157" t="s">
        <v>1838</v>
      </c>
      <c r="B393" s="266" t="s">
        <v>1086</v>
      </c>
      <c r="C393" s="267">
        <v>0</v>
      </c>
      <c r="D393" s="268">
        <f t="shared" si="75"/>
        <v>0</v>
      </c>
      <c r="E393" s="267"/>
      <c r="F393" s="267"/>
      <c r="G393" s="267"/>
      <c r="H393" s="267"/>
      <c r="I393" s="287"/>
      <c r="J393" s="288">
        <f t="shared" si="76"/>
        <v>0</v>
      </c>
      <c r="K393" s="276" t="s">
        <v>1087</v>
      </c>
      <c r="L393" s="33">
        <v>1</v>
      </c>
      <c r="M393" s="157" t="s">
        <v>1838</v>
      </c>
      <c r="N393" s="157"/>
      <c r="O393" s="157" t="s">
        <v>501</v>
      </c>
      <c r="P393" s="164" t="s">
        <v>1088</v>
      </c>
    </row>
    <row r="394" s="92" customFormat="1" ht="20.1" customHeight="1" spans="1:16">
      <c r="A394" s="157" t="s">
        <v>1839</v>
      </c>
      <c r="B394" s="269" t="s">
        <v>1090</v>
      </c>
      <c r="C394" s="267">
        <v>0</v>
      </c>
      <c r="D394" s="268">
        <f t="shared" si="75"/>
        <v>0</v>
      </c>
      <c r="E394" s="267"/>
      <c r="F394" s="267"/>
      <c r="G394" s="267"/>
      <c r="H394" s="267"/>
      <c r="I394" s="287"/>
      <c r="J394" s="288">
        <f t="shared" si="76"/>
        <v>0</v>
      </c>
      <c r="K394" s="276" t="s">
        <v>1087</v>
      </c>
      <c r="L394" s="33">
        <v>1</v>
      </c>
      <c r="M394" s="157" t="s">
        <v>1839</v>
      </c>
      <c r="N394" s="157"/>
      <c r="O394" s="157" t="s">
        <v>501</v>
      </c>
      <c r="P394" s="164" t="s">
        <v>1091</v>
      </c>
    </row>
    <row r="395" s="92" customFormat="1" ht="20.1" customHeight="1" spans="1:16">
      <c r="A395" s="157" t="s">
        <v>1840</v>
      </c>
      <c r="B395" s="266" t="s">
        <v>1217</v>
      </c>
      <c r="C395" s="267">
        <v>0</v>
      </c>
      <c r="D395" s="268">
        <f t="shared" si="75"/>
        <v>0</v>
      </c>
      <c r="E395" s="267"/>
      <c r="F395" s="267"/>
      <c r="G395" s="267"/>
      <c r="H395" s="267"/>
      <c r="I395" s="287"/>
      <c r="J395" s="288">
        <f t="shared" si="76"/>
        <v>0</v>
      </c>
      <c r="K395" s="276" t="s">
        <v>1087</v>
      </c>
      <c r="L395" s="33">
        <v>1</v>
      </c>
      <c r="M395" s="157" t="s">
        <v>1840</v>
      </c>
      <c r="N395" s="157"/>
      <c r="O395" s="157" t="s">
        <v>501</v>
      </c>
      <c r="P395" s="164" t="s">
        <v>1218</v>
      </c>
    </row>
    <row r="396" s="92" customFormat="1" ht="20.1" customHeight="1" spans="1:16">
      <c r="A396" s="157" t="s">
        <v>1841</v>
      </c>
      <c r="B396" s="266" t="s">
        <v>1842</v>
      </c>
      <c r="C396" s="267">
        <v>0</v>
      </c>
      <c r="D396" s="268">
        <f t="shared" si="75"/>
        <v>0</v>
      </c>
      <c r="E396" s="267"/>
      <c r="F396" s="267"/>
      <c r="G396" s="267"/>
      <c r="H396" s="267"/>
      <c r="I396" s="287"/>
      <c r="J396" s="288">
        <f t="shared" si="76"/>
        <v>0</v>
      </c>
      <c r="K396" s="276" t="s">
        <v>1087</v>
      </c>
      <c r="L396" s="33">
        <v>1</v>
      </c>
      <c r="M396" s="157" t="s">
        <v>1841</v>
      </c>
      <c r="N396" s="157"/>
      <c r="O396" s="157" t="s">
        <v>501</v>
      </c>
      <c r="P396" s="164" t="s">
        <v>1843</v>
      </c>
    </row>
    <row r="397" s="92" customFormat="1" ht="20.1" customHeight="1" spans="1:16">
      <c r="A397" s="157" t="s">
        <v>1844</v>
      </c>
      <c r="B397" s="266" t="s">
        <v>1845</v>
      </c>
      <c r="C397" s="267">
        <v>0</v>
      </c>
      <c r="D397" s="268">
        <f t="shared" si="75"/>
        <v>0</v>
      </c>
      <c r="E397" s="267"/>
      <c r="F397" s="267"/>
      <c r="G397" s="267"/>
      <c r="H397" s="267"/>
      <c r="I397" s="287"/>
      <c r="J397" s="288">
        <f t="shared" si="76"/>
        <v>0</v>
      </c>
      <c r="K397" s="276" t="s">
        <v>1087</v>
      </c>
      <c r="L397" s="33">
        <v>1</v>
      </c>
      <c r="M397" s="157" t="s">
        <v>1844</v>
      </c>
      <c r="N397" s="157"/>
      <c r="O397" s="157" t="s">
        <v>501</v>
      </c>
      <c r="P397" s="163" t="s">
        <v>1846</v>
      </c>
    </row>
    <row r="398" s="93" customFormat="1" ht="20.1" customHeight="1" spans="1:16">
      <c r="A398" s="263" t="s">
        <v>502</v>
      </c>
      <c r="B398" s="264" t="s">
        <v>268</v>
      </c>
      <c r="C398" s="265">
        <f t="shared" ref="C398:I398" si="78">SUM(C399:C400)</f>
        <v>55</v>
      </c>
      <c r="D398" s="265">
        <f t="shared" si="75"/>
        <v>0</v>
      </c>
      <c r="E398" s="265">
        <f t="shared" si="78"/>
        <v>0</v>
      </c>
      <c r="F398" s="265">
        <f t="shared" si="78"/>
        <v>0</v>
      </c>
      <c r="G398" s="265">
        <f t="shared" si="78"/>
        <v>0</v>
      </c>
      <c r="H398" s="265">
        <f t="shared" si="78"/>
        <v>0</v>
      </c>
      <c r="I398" s="265">
        <f t="shared" si="78"/>
        <v>0</v>
      </c>
      <c r="J398" s="283">
        <f t="shared" si="76"/>
        <v>-100</v>
      </c>
      <c r="K398" s="284" t="s">
        <v>1082</v>
      </c>
      <c r="L398" s="285">
        <v>8</v>
      </c>
      <c r="M398" s="263" t="s">
        <v>502</v>
      </c>
      <c r="N398" s="263" t="s">
        <v>491</v>
      </c>
      <c r="O398" s="263" t="s">
        <v>502</v>
      </c>
      <c r="P398" s="286" t="s">
        <v>1847</v>
      </c>
    </row>
    <row r="399" s="92" customFormat="1" ht="20.1" customHeight="1" spans="1:16">
      <c r="A399" s="157" t="s">
        <v>1848</v>
      </c>
      <c r="B399" s="266" t="s">
        <v>1849</v>
      </c>
      <c r="C399" s="267">
        <v>11</v>
      </c>
      <c r="D399" s="267">
        <f t="shared" si="75"/>
        <v>0</v>
      </c>
      <c r="E399" s="267"/>
      <c r="F399" s="267"/>
      <c r="G399" s="267"/>
      <c r="H399" s="267"/>
      <c r="I399" s="267"/>
      <c r="J399" s="288"/>
      <c r="K399" s="276" t="s">
        <v>1087</v>
      </c>
      <c r="L399" s="33">
        <v>1</v>
      </c>
      <c r="M399" s="157" t="s">
        <v>1848</v>
      </c>
      <c r="N399" s="157"/>
      <c r="O399" s="157" t="s">
        <v>502</v>
      </c>
      <c r="P399" s="289" t="s">
        <v>1850</v>
      </c>
    </row>
    <row r="400" s="92" customFormat="1" ht="20.1" customHeight="1" spans="1:16">
      <c r="A400" s="157" t="s">
        <v>1851</v>
      </c>
      <c r="B400" s="266" t="s">
        <v>1852</v>
      </c>
      <c r="C400" s="267">
        <v>44</v>
      </c>
      <c r="D400" s="268">
        <f t="shared" si="75"/>
        <v>0</v>
      </c>
      <c r="E400" s="267"/>
      <c r="F400" s="267"/>
      <c r="G400" s="267"/>
      <c r="H400" s="267"/>
      <c r="I400" s="287"/>
      <c r="J400" s="288"/>
      <c r="K400" s="276" t="s">
        <v>1087</v>
      </c>
      <c r="L400" s="33">
        <v>1</v>
      </c>
      <c r="M400" s="157" t="s">
        <v>1851</v>
      </c>
      <c r="N400" s="157"/>
      <c r="O400" s="157" t="s">
        <v>502</v>
      </c>
      <c r="P400" s="289" t="s">
        <v>1847</v>
      </c>
    </row>
    <row r="401" s="93" customFormat="1" ht="20.1" customHeight="1" spans="1:16">
      <c r="A401" s="154" t="s">
        <v>503</v>
      </c>
      <c r="B401" s="261" t="s">
        <v>269</v>
      </c>
      <c r="C401" s="262">
        <f t="shared" ref="C401:I401" si="79">C402+C407+C414+C420+C426+C430+C434+C438+C444+C451</f>
        <v>70306</v>
      </c>
      <c r="D401" s="262">
        <f t="shared" si="75"/>
        <v>78779</v>
      </c>
      <c r="E401" s="262">
        <f t="shared" si="79"/>
        <v>3241</v>
      </c>
      <c r="F401" s="262">
        <f t="shared" si="79"/>
        <v>0</v>
      </c>
      <c r="G401" s="262">
        <f t="shared" si="79"/>
        <v>12534</v>
      </c>
      <c r="H401" s="262">
        <f t="shared" si="79"/>
        <v>1960</v>
      </c>
      <c r="I401" s="262">
        <f t="shared" si="79"/>
        <v>61044</v>
      </c>
      <c r="J401" s="279">
        <f t="shared" ref="J401:J451" si="80">ROUND(IF(C401=0,IF(D401=0,0,1),IF(D401=0,-1,D401/C401)),4)*100</f>
        <v>112.05</v>
      </c>
      <c r="K401" s="280" t="s">
        <v>1081</v>
      </c>
      <c r="L401" s="281"/>
      <c r="M401" s="154" t="s">
        <v>503</v>
      </c>
      <c r="N401" s="154" t="s">
        <v>503</v>
      </c>
      <c r="O401" s="154" t="s">
        <v>503</v>
      </c>
      <c r="P401" s="282" t="s">
        <v>1853</v>
      </c>
    </row>
    <row r="402" s="93" customFormat="1" ht="20.1" customHeight="1" spans="1:16">
      <c r="A402" s="263" t="s">
        <v>504</v>
      </c>
      <c r="B402" s="297" t="s">
        <v>270</v>
      </c>
      <c r="C402" s="265">
        <f t="shared" ref="C402:J402" si="81">SUM(C403:C406)</f>
        <v>201</v>
      </c>
      <c r="D402" s="265">
        <f t="shared" si="75"/>
        <v>143</v>
      </c>
      <c r="E402" s="265">
        <f t="shared" si="81"/>
        <v>0</v>
      </c>
      <c r="F402" s="265">
        <f t="shared" si="81"/>
        <v>0</v>
      </c>
      <c r="G402" s="265">
        <f t="shared" si="81"/>
        <v>0</v>
      </c>
      <c r="H402" s="265">
        <f t="shared" si="81"/>
        <v>0</v>
      </c>
      <c r="I402" s="265">
        <f t="shared" si="81"/>
        <v>143</v>
      </c>
      <c r="J402" s="298">
        <f t="shared" si="81"/>
        <v>71.14</v>
      </c>
      <c r="K402" s="284" t="s">
        <v>1082</v>
      </c>
      <c r="L402" s="285"/>
      <c r="M402" s="263" t="s">
        <v>504</v>
      </c>
      <c r="N402" s="263" t="s">
        <v>503</v>
      </c>
      <c r="O402" s="263" t="s">
        <v>504</v>
      </c>
      <c r="P402" s="286" t="s">
        <v>1854</v>
      </c>
    </row>
    <row r="403" s="92" customFormat="1" ht="20.1" customHeight="1" spans="1:16">
      <c r="A403" s="157" t="s">
        <v>1855</v>
      </c>
      <c r="B403" s="266" t="s">
        <v>1086</v>
      </c>
      <c r="C403" s="267">
        <v>201</v>
      </c>
      <c r="D403" s="268">
        <f t="shared" si="75"/>
        <v>143</v>
      </c>
      <c r="E403" s="267"/>
      <c r="F403" s="267"/>
      <c r="G403" s="267"/>
      <c r="H403" s="267"/>
      <c r="I403" s="287">
        <v>143</v>
      </c>
      <c r="J403" s="288">
        <f t="shared" si="80"/>
        <v>71.14</v>
      </c>
      <c r="K403" s="276" t="s">
        <v>1087</v>
      </c>
      <c r="L403" s="33">
        <v>1</v>
      </c>
      <c r="M403" s="157" t="s">
        <v>1855</v>
      </c>
      <c r="N403" s="157"/>
      <c r="O403" s="157" t="s">
        <v>504</v>
      </c>
      <c r="P403" s="164" t="s">
        <v>1088</v>
      </c>
    </row>
    <row r="404" s="92" customFormat="1" ht="20.1" customHeight="1" spans="1:16">
      <c r="A404" s="157" t="s">
        <v>1856</v>
      </c>
      <c r="B404" s="266" t="s">
        <v>1090</v>
      </c>
      <c r="C404" s="267"/>
      <c r="D404" s="268">
        <f t="shared" si="75"/>
        <v>0</v>
      </c>
      <c r="E404" s="267"/>
      <c r="F404" s="267"/>
      <c r="G404" s="267"/>
      <c r="H404" s="267"/>
      <c r="I404" s="287"/>
      <c r="J404" s="288">
        <f t="shared" si="80"/>
        <v>0</v>
      </c>
      <c r="K404" s="276" t="s">
        <v>1087</v>
      </c>
      <c r="L404" s="33">
        <v>1</v>
      </c>
      <c r="M404" s="157" t="s">
        <v>1856</v>
      </c>
      <c r="N404" s="157"/>
      <c r="O404" s="157" t="s">
        <v>504</v>
      </c>
      <c r="P404" s="164" t="s">
        <v>1091</v>
      </c>
    </row>
    <row r="405" s="92" customFormat="1" ht="20.1" customHeight="1" spans="1:16">
      <c r="A405" s="157" t="s">
        <v>1857</v>
      </c>
      <c r="B405" s="266" t="s">
        <v>1093</v>
      </c>
      <c r="C405" s="267"/>
      <c r="D405" s="268">
        <f t="shared" si="75"/>
        <v>0</v>
      </c>
      <c r="E405" s="267"/>
      <c r="F405" s="267"/>
      <c r="G405" s="267"/>
      <c r="H405" s="267"/>
      <c r="I405" s="287"/>
      <c r="J405" s="288">
        <f t="shared" si="80"/>
        <v>0</v>
      </c>
      <c r="K405" s="276" t="s">
        <v>1087</v>
      </c>
      <c r="L405" s="33">
        <v>1</v>
      </c>
      <c r="M405" s="157" t="s">
        <v>1857</v>
      </c>
      <c r="N405" s="157"/>
      <c r="O405" s="157" t="s">
        <v>504</v>
      </c>
      <c r="P405" s="164" t="s">
        <v>1094</v>
      </c>
    </row>
    <row r="406" s="92" customFormat="1" ht="20.1" customHeight="1" spans="1:16">
      <c r="A406" s="157" t="s">
        <v>1858</v>
      </c>
      <c r="B406" s="269" t="s">
        <v>1859</v>
      </c>
      <c r="C406" s="267"/>
      <c r="D406" s="268">
        <f t="shared" si="75"/>
        <v>0</v>
      </c>
      <c r="E406" s="267"/>
      <c r="F406" s="267"/>
      <c r="G406" s="267"/>
      <c r="H406" s="267"/>
      <c r="I406" s="287"/>
      <c r="J406" s="288">
        <f t="shared" si="80"/>
        <v>0</v>
      </c>
      <c r="K406" s="276" t="s">
        <v>1087</v>
      </c>
      <c r="L406" s="33">
        <v>1</v>
      </c>
      <c r="M406" s="157" t="s">
        <v>1858</v>
      </c>
      <c r="N406" s="157"/>
      <c r="O406" s="157" t="s">
        <v>504</v>
      </c>
      <c r="P406" s="163" t="s">
        <v>1860</v>
      </c>
    </row>
    <row r="407" s="93" customFormat="1" ht="20.1" customHeight="1" spans="1:16">
      <c r="A407" s="263" t="s">
        <v>505</v>
      </c>
      <c r="B407" s="297" t="s">
        <v>271</v>
      </c>
      <c r="C407" s="265">
        <f t="shared" ref="C407:I407" si="82">SUM(C408:C413)</f>
        <v>69469</v>
      </c>
      <c r="D407" s="265">
        <f t="shared" si="75"/>
        <v>73806</v>
      </c>
      <c r="E407" s="265">
        <f t="shared" si="82"/>
        <v>3041</v>
      </c>
      <c r="F407" s="265">
        <f t="shared" si="82"/>
        <v>0</v>
      </c>
      <c r="G407" s="265">
        <f t="shared" si="82"/>
        <v>9393</v>
      </c>
      <c r="H407" s="265">
        <f t="shared" si="82"/>
        <v>1960</v>
      </c>
      <c r="I407" s="265">
        <f t="shared" si="82"/>
        <v>59412</v>
      </c>
      <c r="J407" s="298">
        <f t="shared" si="80"/>
        <v>106.24</v>
      </c>
      <c r="K407" s="284" t="s">
        <v>1082</v>
      </c>
      <c r="L407" s="285"/>
      <c r="M407" s="263" t="s">
        <v>505</v>
      </c>
      <c r="N407" s="263" t="s">
        <v>503</v>
      </c>
      <c r="O407" s="263" t="s">
        <v>505</v>
      </c>
      <c r="P407" s="286" t="s">
        <v>1861</v>
      </c>
    </row>
    <row r="408" s="92" customFormat="1" ht="20.1" customHeight="1" spans="1:16">
      <c r="A408" s="157" t="s">
        <v>1862</v>
      </c>
      <c r="B408" s="266" t="s">
        <v>1863</v>
      </c>
      <c r="C408" s="267">
        <v>2422</v>
      </c>
      <c r="D408" s="268">
        <f t="shared" si="75"/>
        <v>4700</v>
      </c>
      <c r="E408" s="267">
        <v>1155</v>
      </c>
      <c r="F408" s="267"/>
      <c r="G408" s="267">
        <f>299+250+609+200</f>
        <v>1358</v>
      </c>
      <c r="H408" s="267"/>
      <c r="I408" s="287">
        <v>2187</v>
      </c>
      <c r="J408" s="288">
        <f t="shared" si="80"/>
        <v>194.05</v>
      </c>
      <c r="K408" s="276" t="s">
        <v>1087</v>
      </c>
      <c r="L408" s="33">
        <v>1</v>
      </c>
      <c r="M408" s="157" t="s">
        <v>1862</v>
      </c>
      <c r="N408" s="157"/>
      <c r="O408" s="157" t="s">
        <v>505</v>
      </c>
      <c r="P408" s="163" t="s">
        <v>1864</v>
      </c>
    </row>
    <row r="409" s="92" customFormat="1" ht="20.1" customHeight="1" spans="1:16">
      <c r="A409" s="157" t="s">
        <v>1865</v>
      </c>
      <c r="B409" s="266" t="s">
        <v>1866</v>
      </c>
      <c r="C409" s="267">
        <v>35240</v>
      </c>
      <c r="D409" s="268">
        <f t="shared" si="75"/>
        <v>38682</v>
      </c>
      <c r="E409" s="267">
        <v>30</v>
      </c>
      <c r="F409" s="267"/>
      <c r="G409" s="267">
        <f>1852+1516+500</f>
        <v>3868</v>
      </c>
      <c r="H409" s="267">
        <v>1960</v>
      </c>
      <c r="I409" s="287">
        <v>32824</v>
      </c>
      <c r="J409" s="288">
        <f t="shared" si="80"/>
        <v>109.77</v>
      </c>
      <c r="K409" s="276" t="s">
        <v>1087</v>
      </c>
      <c r="L409" s="33">
        <v>1</v>
      </c>
      <c r="M409" s="157" t="s">
        <v>1865</v>
      </c>
      <c r="N409" s="157"/>
      <c r="O409" s="157" t="s">
        <v>505</v>
      </c>
      <c r="P409" s="163" t="s">
        <v>1867</v>
      </c>
    </row>
    <row r="410" s="92" customFormat="1" ht="20.1" customHeight="1" spans="1:16">
      <c r="A410" s="157" t="s">
        <v>1868</v>
      </c>
      <c r="B410" s="269" t="s">
        <v>1869</v>
      </c>
      <c r="C410" s="267">
        <v>20578</v>
      </c>
      <c r="D410" s="268">
        <f t="shared" si="75"/>
        <v>18300</v>
      </c>
      <c r="E410" s="267"/>
      <c r="F410" s="267"/>
      <c r="G410" s="267">
        <f>1449+1329+300</f>
        <v>3078</v>
      </c>
      <c r="H410" s="267"/>
      <c r="I410" s="287">
        <v>15222</v>
      </c>
      <c r="J410" s="288">
        <f t="shared" si="80"/>
        <v>88.93</v>
      </c>
      <c r="K410" s="276" t="s">
        <v>1087</v>
      </c>
      <c r="L410" s="33">
        <v>1</v>
      </c>
      <c r="M410" s="157" t="s">
        <v>1868</v>
      </c>
      <c r="N410" s="157"/>
      <c r="O410" s="157" t="s">
        <v>505</v>
      </c>
      <c r="P410" s="163" t="s">
        <v>1870</v>
      </c>
    </row>
    <row r="411" s="92" customFormat="1" ht="20.1" customHeight="1" spans="1:16">
      <c r="A411" s="157" t="s">
        <v>1871</v>
      </c>
      <c r="B411" s="269" t="s">
        <v>1872</v>
      </c>
      <c r="C411" s="267">
        <v>9396</v>
      </c>
      <c r="D411" s="268">
        <f t="shared" si="75"/>
        <v>10348</v>
      </c>
      <c r="E411" s="267">
        <v>1856</v>
      </c>
      <c r="F411" s="267"/>
      <c r="G411" s="267">
        <f>472+452</f>
        <v>924</v>
      </c>
      <c r="H411" s="267"/>
      <c r="I411" s="287">
        <v>7568</v>
      </c>
      <c r="J411" s="288">
        <f t="shared" si="80"/>
        <v>110.13</v>
      </c>
      <c r="K411" s="276" t="s">
        <v>1087</v>
      </c>
      <c r="L411" s="33">
        <v>1</v>
      </c>
      <c r="M411" s="157" t="s">
        <v>1871</v>
      </c>
      <c r="N411" s="157"/>
      <c r="O411" s="157" t="s">
        <v>505</v>
      </c>
      <c r="P411" s="163" t="s">
        <v>1873</v>
      </c>
    </row>
    <row r="412" s="92" customFormat="1" ht="20.1" customHeight="1" spans="1:16">
      <c r="A412" s="157" t="s">
        <v>1874</v>
      </c>
      <c r="B412" s="269" t="s">
        <v>1875</v>
      </c>
      <c r="C412" s="267"/>
      <c r="D412" s="268">
        <f t="shared" si="75"/>
        <v>165</v>
      </c>
      <c r="E412" s="267"/>
      <c r="F412" s="267"/>
      <c r="G412" s="267">
        <f>110+55</f>
        <v>165</v>
      </c>
      <c r="H412" s="267"/>
      <c r="I412" s="287"/>
      <c r="J412" s="288">
        <f t="shared" si="80"/>
        <v>100</v>
      </c>
      <c r="K412" s="276" t="s">
        <v>1087</v>
      </c>
      <c r="L412" s="33">
        <v>1</v>
      </c>
      <c r="M412" s="157" t="s">
        <v>1874</v>
      </c>
      <c r="N412" s="157"/>
      <c r="O412" s="157" t="s">
        <v>505</v>
      </c>
      <c r="P412" s="163" t="s">
        <v>1876</v>
      </c>
    </row>
    <row r="413" s="92" customFormat="1" ht="20.1" customHeight="1" spans="1:16">
      <c r="A413" s="157" t="s">
        <v>1877</v>
      </c>
      <c r="B413" s="266" t="s">
        <v>1878</v>
      </c>
      <c r="C413" s="267">
        <v>1833</v>
      </c>
      <c r="D413" s="268">
        <f t="shared" si="75"/>
        <v>1611</v>
      </c>
      <c r="E413" s="267"/>
      <c r="F413" s="267"/>
      <c r="G413" s="267"/>
      <c r="H413" s="267"/>
      <c r="I413" s="287">
        <v>1611</v>
      </c>
      <c r="J413" s="288">
        <f t="shared" si="80"/>
        <v>87.89</v>
      </c>
      <c r="K413" s="276" t="s">
        <v>1087</v>
      </c>
      <c r="L413" s="33">
        <v>1</v>
      </c>
      <c r="M413" s="157" t="s">
        <v>1877</v>
      </c>
      <c r="N413" s="157"/>
      <c r="O413" s="157" t="s">
        <v>505</v>
      </c>
      <c r="P413" s="163" t="s">
        <v>1879</v>
      </c>
    </row>
    <row r="414" s="93" customFormat="1" ht="20.1" customHeight="1" spans="1:16">
      <c r="A414" s="263" t="s">
        <v>506</v>
      </c>
      <c r="B414" s="297" t="s">
        <v>272</v>
      </c>
      <c r="C414" s="265">
        <f t="shared" ref="C414:I414" si="83">SUM(C415:C419)</f>
        <v>11</v>
      </c>
      <c r="D414" s="265">
        <f t="shared" si="75"/>
        <v>200</v>
      </c>
      <c r="E414" s="265">
        <f t="shared" si="83"/>
        <v>200</v>
      </c>
      <c r="F414" s="265">
        <f t="shared" si="83"/>
        <v>0</v>
      </c>
      <c r="G414" s="265">
        <f t="shared" si="83"/>
        <v>0</v>
      </c>
      <c r="H414" s="265">
        <f t="shared" si="83"/>
        <v>0</v>
      </c>
      <c r="I414" s="265">
        <f t="shared" si="83"/>
        <v>0</v>
      </c>
      <c r="J414" s="298">
        <f t="shared" si="80"/>
        <v>1818.18</v>
      </c>
      <c r="K414" s="284" t="s">
        <v>1082</v>
      </c>
      <c r="L414" s="285"/>
      <c r="M414" s="263" t="s">
        <v>506</v>
      </c>
      <c r="N414" s="263" t="s">
        <v>503</v>
      </c>
      <c r="O414" s="263" t="s">
        <v>506</v>
      </c>
      <c r="P414" s="286" t="s">
        <v>1880</v>
      </c>
    </row>
    <row r="415" s="92" customFormat="1" ht="20.1" customHeight="1" spans="1:16">
      <c r="A415" s="157" t="s">
        <v>1881</v>
      </c>
      <c r="B415" s="266" t="s">
        <v>1882</v>
      </c>
      <c r="C415" s="267"/>
      <c r="D415" s="268">
        <f t="shared" si="75"/>
        <v>0</v>
      </c>
      <c r="E415" s="267"/>
      <c r="F415" s="267"/>
      <c r="G415" s="267"/>
      <c r="H415" s="267"/>
      <c r="I415" s="287"/>
      <c r="J415" s="288">
        <f t="shared" si="80"/>
        <v>0</v>
      </c>
      <c r="K415" s="276" t="s">
        <v>1087</v>
      </c>
      <c r="L415" s="33">
        <v>1</v>
      </c>
      <c r="M415" s="157" t="s">
        <v>1881</v>
      </c>
      <c r="N415" s="157"/>
      <c r="O415" s="157" t="s">
        <v>506</v>
      </c>
      <c r="P415" s="163" t="s">
        <v>1883</v>
      </c>
    </row>
    <row r="416" s="92" customFormat="1" ht="20.1" customHeight="1" spans="1:16">
      <c r="A416" s="157" t="s">
        <v>1884</v>
      </c>
      <c r="B416" s="266" t="s">
        <v>1885</v>
      </c>
      <c r="C416" s="267"/>
      <c r="D416" s="268">
        <f t="shared" si="75"/>
        <v>0</v>
      </c>
      <c r="E416" s="267"/>
      <c r="F416" s="267"/>
      <c r="G416" s="267"/>
      <c r="H416" s="267"/>
      <c r="I416" s="287"/>
      <c r="J416" s="288">
        <f t="shared" si="80"/>
        <v>0</v>
      </c>
      <c r="K416" s="276" t="s">
        <v>1087</v>
      </c>
      <c r="L416" s="33">
        <v>1</v>
      </c>
      <c r="M416" s="157" t="s">
        <v>1884</v>
      </c>
      <c r="N416" s="157"/>
      <c r="O416" s="157" t="s">
        <v>506</v>
      </c>
      <c r="P416" s="163" t="s">
        <v>1886</v>
      </c>
    </row>
    <row r="417" s="92" customFormat="1" ht="20.1" customHeight="1" spans="1:16">
      <c r="A417" s="157" t="s">
        <v>1887</v>
      </c>
      <c r="B417" s="266" t="s">
        <v>1888</v>
      </c>
      <c r="C417" s="267"/>
      <c r="D417" s="268">
        <f t="shared" si="75"/>
        <v>0</v>
      </c>
      <c r="E417" s="267"/>
      <c r="F417" s="267"/>
      <c r="G417" s="267"/>
      <c r="H417" s="267"/>
      <c r="I417" s="287"/>
      <c r="J417" s="288">
        <f t="shared" si="80"/>
        <v>0</v>
      </c>
      <c r="K417" s="276" t="s">
        <v>1087</v>
      </c>
      <c r="L417" s="33">
        <v>1</v>
      </c>
      <c r="M417" s="157" t="s">
        <v>1887</v>
      </c>
      <c r="N417" s="157"/>
      <c r="O417" s="157" t="s">
        <v>506</v>
      </c>
      <c r="P417" s="163" t="s">
        <v>1889</v>
      </c>
    </row>
    <row r="418" s="92" customFormat="1" ht="20.1" customHeight="1" spans="1:16">
      <c r="A418" s="157" t="s">
        <v>1890</v>
      </c>
      <c r="B418" s="269" t="s">
        <v>1891</v>
      </c>
      <c r="C418" s="267"/>
      <c r="D418" s="268">
        <f t="shared" si="75"/>
        <v>0</v>
      </c>
      <c r="E418" s="267"/>
      <c r="F418" s="267"/>
      <c r="G418" s="267"/>
      <c r="H418" s="267"/>
      <c r="I418" s="287"/>
      <c r="J418" s="288">
        <f t="shared" si="80"/>
        <v>0</v>
      </c>
      <c r="K418" s="276" t="s">
        <v>1087</v>
      </c>
      <c r="L418" s="33">
        <v>1</v>
      </c>
      <c r="M418" s="157" t="s">
        <v>1890</v>
      </c>
      <c r="N418" s="157"/>
      <c r="O418" s="157" t="s">
        <v>506</v>
      </c>
      <c r="P418" s="163" t="s">
        <v>1892</v>
      </c>
    </row>
    <row r="419" s="92" customFormat="1" ht="20.1" customHeight="1" spans="1:16">
      <c r="A419" s="157" t="s">
        <v>1893</v>
      </c>
      <c r="B419" s="269" t="s">
        <v>1894</v>
      </c>
      <c r="C419" s="267">
        <v>11</v>
      </c>
      <c r="D419" s="268">
        <f t="shared" si="75"/>
        <v>200</v>
      </c>
      <c r="E419" s="267">
        <v>200</v>
      </c>
      <c r="F419" s="267"/>
      <c r="G419" s="267"/>
      <c r="H419" s="267"/>
      <c r="I419" s="287"/>
      <c r="J419" s="288">
        <f t="shared" si="80"/>
        <v>1818.18</v>
      </c>
      <c r="K419" s="276" t="s">
        <v>1087</v>
      </c>
      <c r="L419" s="33">
        <v>1</v>
      </c>
      <c r="M419" s="157" t="s">
        <v>1893</v>
      </c>
      <c r="N419" s="157"/>
      <c r="O419" s="157" t="s">
        <v>506</v>
      </c>
      <c r="P419" s="163" t="s">
        <v>1895</v>
      </c>
    </row>
    <row r="420" s="93" customFormat="1" ht="20.1" customHeight="1" spans="1:16">
      <c r="A420" s="263" t="s">
        <v>507</v>
      </c>
      <c r="B420" s="297" t="s">
        <v>273</v>
      </c>
      <c r="C420" s="265">
        <v>0</v>
      </c>
      <c r="D420" s="265">
        <f t="shared" si="75"/>
        <v>0</v>
      </c>
      <c r="E420" s="265">
        <f t="shared" ref="E420:H420" si="84">SUM(E421:E425)</f>
        <v>0</v>
      </c>
      <c r="F420" s="265">
        <f t="shared" si="84"/>
        <v>0</v>
      </c>
      <c r="G420" s="265">
        <f>VLOOKUP(A420,[1]√表四、2024年公共财政支出变动表!$A$7:$R$214,18,FALSE)</f>
        <v>0</v>
      </c>
      <c r="H420" s="265">
        <f t="shared" si="84"/>
        <v>0</v>
      </c>
      <c r="I420" s="265"/>
      <c r="J420" s="298">
        <f t="shared" si="80"/>
        <v>0</v>
      </c>
      <c r="K420" s="284" t="s">
        <v>1082</v>
      </c>
      <c r="L420" s="285"/>
      <c r="M420" s="263" t="s">
        <v>507</v>
      </c>
      <c r="N420" s="263" t="s">
        <v>503</v>
      </c>
      <c r="O420" s="263" t="s">
        <v>507</v>
      </c>
      <c r="P420" s="286" t="s">
        <v>1896</v>
      </c>
    </row>
    <row r="421" s="92" customFormat="1" ht="20.1" customHeight="1" spans="1:16">
      <c r="A421" s="157" t="s">
        <v>1897</v>
      </c>
      <c r="B421" s="266" t="s">
        <v>1898</v>
      </c>
      <c r="C421" s="267">
        <v>0</v>
      </c>
      <c r="D421" s="268">
        <f t="shared" si="75"/>
        <v>0</v>
      </c>
      <c r="E421" s="267"/>
      <c r="F421" s="267"/>
      <c r="G421" s="267"/>
      <c r="H421" s="267"/>
      <c r="I421" s="287"/>
      <c r="J421" s="288">
        <f t="shared" si="80"/>
        <v>0</v>
      </c>
      <c r="K421" s="276" t="s">
        <v>1087</v>
      </c>
      <c r="L421" s="33">
        <v>1</v>
      </c>
      <c r="M421" s="157" t="s">
        <v>1897</v>
      </c>
      <c r="N421" s="157"/>
      <c r="O421" s="157" t="s">
        <v>507</v>
      </c>
      <c r="P421" s="163" t="s">
        <v>1899</v>
      </c>
    </row>
    <row r="422" s="92" customFormat="1" ht="20.1" customHeight="1" spans="1:16">
      <c r="A422" s="157" t="s">
        <v>1900</v>
      </c>
      <c r="B422" s="266" t="s">
        <v>1901</v>
      </c>
      <c r="C422" s="267">
        <v>0</v>
      </c>
      <c r="D422" s="268">
        <f t="shared" si="75"/>
        <v>0</v>
      </c>
      <c r="E422" s="267"/>
      <c r="F422" s="267"/>
      <c r="G422" s="267"/>
      <c r="H422" s="267"/>
      <c r="I422" s="287"/>
      <c r="J422" s="288">
        <f t="shared" si="80"/>
        <v>0</v>
      </c>
      <c r="K422" s="276" t="s">
        <v>1087</v>
      </c>
      <c r="L422" s="33">
        <v>1</v>
      </c>
      <c r="M422" s="157" t="s">
        <v>1900</v>
      </c>
      <c r="N422" s="157"/>
      <c r="O422" s="157" t="s">
        <v>507</v>
      </c>
      <c r="P422" s="163" t="s">
        <v>1902</v>
      </c>
    </row>
    <row r="423" s="92" customFormat="1" ht="20.1" customHeight="1" spans="1:16">
      <c r="A423" s="157" t="s">
        <v>1903</v>
      </c>
      <c r="B423" s="266" t="s">
        <v>1904</v>
      </c>
      <c r="C423" s="267">
        <v>0</v>
      </c>
      <c r="D423" s="268">
        <f t="shared" si="75"/>
        <v>0</v>
      </c>
      <c r="E423" s="267"/>
      <c r="F423" s="267"/>
      <c r="G423" s="267"/>
      <c r="H423" s="267"/>
      <c r="I423" s="287"/>
      <c r="J423" s="288">
        <f t="shared" si="80"/>
        <v>0</v>
      </c>
      <c r="K423" s="276" t="s">
        <v>1087</v>
      </c>
      <c r="L423" s="33">
        <v>1</v>
      </c>
      <c r="M423" s="157" t="s">
        <v>1903</v>
      </c>
      <c r="N423" s="157"/>
      <c r="O423" s="157" t="s">
        <v>507</v>
      </c>
      <c r="P423" s="163" t="s">
        <v>1905</v>
      </c>
    </row>
    <row r="424" s="92" customFormat="1" ht="20.1" customHeight="1" spans="1:16">
      <c r="A424" s="157" t="s">
        <v>1906</v>
      </c>
      <c r="B424" s="269" t="s">
        <v>1907</v>
      </c>
      <c r="C424" s="267">
        <v>0</v>
      </c>
      <c r="D424" s="268">
        <f t="shared" si="75"/>
        <v>0</v>
      </c>
      <c r="E424" s="267"/>
      <c r="F424" s="267"/>
      <c r="G424" s="267"/>
      <c r="H424" s="267"/>
      <c r="I424" s="287"/>
      <c r="J424" s="288">
        <f t="shared" si="80"/>
        <v>0</v>
      </c>
      <c r="K424" s="276" t="s">
        <v>1087</v>
      </c>
      <c r="L424" s="33">
        <v>1</v>
      </c>
      <c r="M424" s="157" t="s">
        <v>1906</v>
      </c>
      <c r="N424" s="157"/>
      <c r="O424" s="157" t="s">
        <v>507</v>
      </c>
      <c r="P424" s="163" t="s">
        <v>1908</v>
      </c>
    </row>
    <row r="425" s="92" customFormat="1" ht="20.1" customHeight="1" spans="1:16">
      <c r="A425" s="157" t="s">
        <v>1909</v>
      </c>
      <c r="B425" s="269" t="s">
        <v>1910</v>
      </c>
      <c r="C425" s="267">
        <v>0</v>
      </c>
      <c r="D425" s="268">
        <f t="shared" si="75"/>
        <v>0</v>
      </c>
      <c r="E425" s="267"/>
      <c r="F425" s="267"/>
      <c r="G425" s="267"/>
      <c r="H425" s="267"/>
      <c r="I425" s="287"/>
      <c r="J425" s="288">
        <f t="shared" si="80"/>
        <v>0</v>
      </c>
      <c r="K425" s="276" t="s">
        <v>1087</v>
      </c>
      <c r="L425" s="33">
        <v>1</v>
      </c>
      <c r="M425" s="157" t="s">
        <v>1909</v>
      </c>
      <c r="N425" s="157"/>
      <c r="O425" s="157" t="s">
        <v>507</v>
      </c>
      <c r="P425" s="163" t="s">
        <v>1911</v>
      </c>
    </row>
    <row r="426" s="93" customFormat="1" ht="20.1" customHeight="1" spans="1:16">
      <c r="A426" s="263" t="s">
        <v>508</v>
      </c>
      <c r="B426" s="297" t="s">
        <v>274</v>
      </c>
      <c r="C426" s="265"/>
      <c r="D426" s="265">
        <f t="shared" si="75"/>
        <v>0</v>
      </c>
      <c r="E426" s="265">
        <f t="shared" ref="E426:H426" si="85">SUM(E427:E429)</f>
        <v>0</v>
      </c>
      <c r="F426" s="265">
        <f t="shared" si="85"/>
        <v>0</v>
      </c>
      <c r="G426" s="265">
        <f>VLOOKUP(A426,[1]√表四、2024年公共财政支出变动表!$A$7:$R$214,18,FALSE)</f>
        <v>0</v>
      </c>
      <c r="H426" s="265">
        <f t="shared" si="85"/>
        <v>0</v>
      </c>
      <c r="I426" s="265"/>
      <c r="J426" s="298">
        <f t="shared" si="80"/>
        <v>0</v>
      </c>
      <c r="K426" s="284" t="s">
        <v>1082</v>
      </c>
      <c r="L426" s="285"/>
      <c r="M426" s="263" t="s">
        <v>508</v>
      </c>
      <c r="N426" s="263" t="s">
        <v>503</v>
      </c>
      <c r="O426" s="263" t="s">
        <v>508</v>
      </c>
      <c r="P426" s="286" t="s">
        <v>1912</v>
      </c>
    </row>
    <row r="427" s="92" customFormat="1" ht="20.1" customHeight="1" spans="1:16">
      <c r="A427" s="157" t="s">
        <v>1913</v>
      </c>
      <c r="B427" s="266" t="s">
        <v>1914</v>
      </c>
      <c r="C427" s="267">
        <v>0</v>
      </c>
      <c r="D427" s="268">
        <f t="shared" si="75"/>
        <v>0</v>
      </c>
      <c r="E427" s="267"/>
      <c r="F427" s="267"/>
      <c r="G427" s="267"/>
      <c r="H427" s="267"/>
      <c r="I427" s="287"/>
      <c r="J427" s="288">
        <f t="shared" si="80"/>
        <v>0</v>
      </c>
      <c r="K427" s="276" t="s">
        <v>1087</v>
      </c>
      <c r="L427" s="33">
        <v>1</v>
      </c>
      <c r="M427" s="157" t="s">
        <v>1913</v>
      </c>
      <c r="N427" s="157"/>
      <c r="O427" s="157" t="s">
        <v>508</v>
      </c>
      <c r="P427" s="163" t="s">
        <v>1915</v>
      </c>
    </row>
    <row r="428" s="92" customFormat="1" ht="20.1" customHeight="1" spans="1:16">
      <c r="A428" s="157" t="s">
        <v>1916</v>
      </c>
      <c r="B428" s="266" t="s">
        <v>1917</v>
      </c>
      <c r="C428" s="267"/>
      <c r="D428" s="268">
        <f t="shared" si="75"/>
        <v>0</v>
      </c>
      <c r="E428" s="267"/>
      <c r="F428" s="267"/>
      <c r="G428" s="267"/>
      <c r="H428" s="267"/>
      <c r="I428" s="287"/>
      <c r="J428" s="288">
        <f t="shared" si="80"/>
        <v>0</v>
      </c>
      <c r="K428" s="276" t="s">
        <v>1087</v>
      </c>
      <c r="L428" s="33">
        <v>1</v>
      </c>
      <c r="M428" s="157" t="s">
        <v>1916</v>
      </c>
      <c r="N428" s="157"/>
      <c r="O428" s="157" t="s">
        <v>508</v>
      </c>
      <c r="P428" s="163" t="s">
        <v>1918</v>
      </c>
    </row>
    <row r="429" s="92" customFormat="1" ht="20.1" customHeight="1" spans="1:16">
      <c r="A429" s="157" t="s">
        <v>1919</v>
      </c>
      <c r="B429" s="266" t="s">
        <v>1920</v>
      </c>
      <c r="C429" s="267">
        <v>0</v>
      </c>
      <c r="D429" s="268">
        <f t="shared" si="75"/>
        <v>0</v>
      </c>
      <c r="E429" s="267"/>
      <c r="F429" s="267"/>
      <c r="G429" s="267"/>
      <c r="H429" s="267"/>
      <c r="I429" s="287"/>
      <c r="J429" s="288">
        <f t="shared" si="80"/>
        <v>0</v>
      </c>
      <c r="K429" s="276" t="s">
        <v>1087</v>
      </c>
      <c r="L429" s="33">
        <v>1</v>
      </c>
      <c r="M429" s="157" t="s">
        <v>1919</v>
      </c>
      <c r="N429" s="157"/>
      <c r="O429" s="157" t="s">
        <v>508</v>
      </c>
      <c r="P429" s="163" t="s">
        <v>1921</v>
      </c>
    </row>
    <row r="430" s="93" customFormat="1" ht="20.1" customHeight="1" spans="1:16">
      <c r="A430" s="263" t="s">
        <v>509</v>
      </c>
      <c r="B430" s="297" t="s">
        <v>275</v>
      </c>
      <c r="C430" s="265">
        <v>0</v>
      </c>
      <c r="D430" s="265">
        <f t="shared" si="75"/>
        <v>0</v>
      </c>
      <c r="E430" s="265">
        <f t="shared" ref="E430:H430" si="86">SUM(E431:E433)</f>
        <v>0</v>
      </c>
      <c r="F430" s="265">
        <f t="shared" si="86"/>
        <v>0</v>
      </c>
      <c r="G430" s="265">
        <f>VLOOKUP(A430,[1]√表四、2024年公共财政支出变动表!$A$7:$R$214,18,FALSE)</f>
        <v>0</v>
      </c>
      <c r="H430" s="265">
        <f t="shared" si="86"/>
        <v>0</v>
      </c>
      <c r="I430" s="265"/>
      <c r="J430" s="298">
        <f t="shared" si="80"/>
        <v>0</v>
      </c>
      <c r="K430" s="284" t="s">
        <v>1082</v>
      </c>
      <c r="L430" s="285"/>
      <c r="M430" s="263" t="s">
        <v>509</v>
      </c>
      <c r="N430" s="263" t="s">
        <v>503</v>
      </c>
      <c r="O430" s="263" t="s">
        <v>509</v>
      </c>
      <c r="P430" s="286" t="s">
        <v>1922</v>
      </c>
    </row>
    <row r="431" s="92" customFormat="1" ht="20.1" customHeight="1" spans="1:16">
      <c r="A431" s="157" t="s">
        <v>1923</v>
      </c>
      <c r="B431" s="269" t="s">
        <v>1924</v>
      </c>
      <c r="C431" s="267">
        <v>0</v>
      </c>
      <c r="D431" s="268">
        <f t="shared" si="75"/>
        <v>0</v>
      </c>
      <c r="E431" s="267"/>
      <c r="F431" s="267"/>
      <c r="G431" s="267"/>
      <c r="H431" s="267"/>
      <c r="I431" s="287"/>
      <c r="J431" s="288">
        <f t="shared" si="80"/>
        <v>0</v>
      </c>
      <c r="K431" s="276" t="s">
        <v>1087</v>
      </c>
      <c r="L431" s="33">
        <v>1</v>
      </c>
      <c r="M431" s="157" t="s">
        <v>1923</v>
      </c>
      <c r="N431" s="157"/>
      <c r="O431" s="157" t="s">
        <v>509</v>
      </c>
      <c r="P431" s="163" t="s">
        <v>1925</v>
      </c>
    </row>
    <row r="432" s="92" customFormat="1" ht="20.1" customHeight="1" spans="1:16">
      <c r="A432" s="157" t="s">
        <v>1926</v>
      </c>
      <c r="B432" s="269" t="s">
        <v>1927</v>
      </c>
      <c r="C432" s="267">
        <v>0</v>
      </c>
      <c r="D432" s="268">
        <f t="shared" si="75"/>
        <v>0</v>
      </c>
      <c r="E432" s="267"/>
      <c r="F432" s="267"/>
      <c r="G432" s="267"/>
      <c r="H432" s="267"/>
      <c r="I432" s="287"/>
      <c r="J432" s="288">
        <f t="shared" si="80"/>
        <v>0</v>
      </c>
      <c r="K432" s="276" t="s">
        <v>1087</v>
      </c>
      <c r="L432" s="33">
        <v>1</v>
      </c>
      <c r="M432" s="157" t="s">
        <v>1926</v>
      </c>
      <c r="N432" s="157"/>
      <c r="O432" s="157" t="s">
        <v>509</v>
      </c>
      <c r="P432" s="163" t="s">
        <v>1928</v>
      </c>
    </row>
    <row r="433" s="92" customFormat="1" ht="20.1" customHeight="1" spans="1:16">
      <c r="A433" s="157" t="s">
        <v>1929</v>
      </c>
      <c r="B433" s="36" t="s">
        <v>1930</v>
      </c>
      <c r="C433" s="267">
        <v>0</v>
      </c>
      <c r="D433" s="268">
        <f t="shared" si="75"/>
        <v>0</v>
      </c>
      <c r="E433" s="267"/>
      <c r="F433" s="267"/>
      <c r="G433" s="267"/>
      <c r="H433" s="267"/>
      <c r="I433" s="287"/>
      <c r="J433" s="288">
        <f t="shared" si="80"/>
        <v>0</v>
      </c>
      <c r="K433" s="276" t="s">
        <v>1087</v>
      </c>
      <c r="L433" s="33">
        <v>1</v>
      </c>
      <c r="M433" s="157" t="s">
        <v>1929</v>
      </c>
      <c r="N433" s="157"/>
      <c r="O433" s="157" t="s">
        <v>509</v>
      </c>
      <c r="P433" s="163" t="s">
        <v>1931</v>
      </c>
    </row>
    <row r="434" s="93" customFormat="1" ht="20.1" customHeight="1" spans="1:16">
      <c r="A434" s="263" t="s">
        <v>510</v>
      </c>
      <c r="B434" s="297" t="s">
        <v>276</v>
      </c>
      <c r="C434" s="265">
        <f t="shared" ref="C434:I434" si="87">SUM(C435:C437)</f>
        <v>314</v>
      </c>
      <c r="D434" s="265">
        <f t="shared" si="75"/>
        <v>301</v>
      </c>
      <c r="E434" s="265">
        <f t="shared" si="87"/>
        <v>0</v>
      </c>
      <c r="F434" s="265">
        <f t="shared" si="87"/>
        <v>0</v>
      </c>
      <c r="G434" s="265">
        <f t="shared" si="87"/>
        <v>18</v>
      </c>
      <c r="H434" s="265">
        <f t="shared" si="87"/>
        <v>0</v>
      </c>
      <c r="I434" s="265">
        <f t="shared" si="87"/>
        <v>283</v>
      </c>
      <c r="J434" s="298">
        <f t="shared" si="80"/>
        <v>95.86</v>
      </c>
      <c r="K434" s="284" t="s">
        <v>1082</v>
      </c>
      <c r="L434" s="285"/>
      <c r="M434" s="263" t="s">
        <v>510</v>
      </c>
      <c r="N434" s="263" t="s">
        <v>503</v>
      </c>
      <c r="O434" s="263" t="s">
        <v>510</v>
      </c>
      <c r="P434" s="286" t="s">
        <v>1932</v>
      </c>
    </row>
    <row r="435" s="92" customFormat="1" ht="20.1" customHeight="1" spans="1:16">
      <c r="A435" s="157" t="s">
        <v>1933</v>
      </c>
      <c r="B435" s="266" t="s">
        <v>1934</v>
      </c>
      <c r="C435" s="267">
        <v>314</v>
      </c>
      <c r="D435" s="268">
        <f t="shared" si="75"/>
        <v>301</v>
      </c>
      <c r="E435" s="267"/>
      <c r="F435" s="267"/>
      <c r="G435" s="267">
        <v>18</v>
      </c>
      <c r="H435" s="267"/>
      <c r="I435" s="287">
        <v>283</v>
      </c>
      <c r="J435" s="288">
        <f t="shared" si="80"/>
        <v>95.86</v>
      </c>
      <c r="K435" s="276" t="s">
        <v>1087</v>
      </c>
      <c r="L435" s="33">
        <v>1</v>
      </c>
      <c r="M435" s="157" t="s">
        <v>1933</v>
      </c>
      <c r="N435" s="157"/>
      <c r="O435" s="157" t="s">
        <v>510</v>
      </c>
      <c r="P435" s="163" t="s">
        <v>1935</v>
      </c>
    </row>
    <row r="436" s="92" customFormat="1" ht="20.1" customHeight="1" spans="1:16">
      <c r="A436" s="157" t="s">
        <v>1936</v>
      </c>
      <c r="B436" s="266" t="s">
        <v>1937</v>
      </c>
      <c r="C436" s="267"/>
      <c r="D436" s="268">
        <f t="shared" si="75"/>
        <v>0</v>
      </c>
      <c r="E436" s="267"/>
      <c r="F436" s="267"/>
      <c r="G436" s="267"/>
      <c r="H436" s="267"/>
      <c r="I436" s="287"/>
      <c r="J436" s="288">
        <f t="shared" si="80"/>
        <v>0</v>
      </c>
      <c r="K436" s="276" t="s">
        <v>1087</v>
      </c>
      <c r="L436" s="33">
        <v>1</v>
      </c>
      <c r="M436" s="157" t="s">
        <v>1936</v>
      </c>
      <c r="N436" s="157"/>
      <c r="O436" s="157" t="s">
        <v>510</v>
      </c>
      <c r="P436" s="163" t="s">
        <v>1938</v>
      </c>
    </row>
    <row r="437" s="92" customFormat="1" ht="20.1" customHeight="1" spans="1:16">
      <c r="A437" s="157" t="s">
        <v>1939</v>
      </c>
      <c r="B437" s="269" t="s">
        <v>1940</v>
      </c>
      <c r="C437" s="267"/>
      <c r="D437" s="268">
        <f t="shared" si="75"/>
        <v>0</v>
      </c>
      <c r="E437" s="267"/>
      <c r="F437" s="267"/>
      <c r="G437" s="267"/>
      <c r="H437" s="267"/>
      <c r="I437" s="287"/>
      <c r="J437" s="288">
        <f t="shared" si="80"/>
        <v>0</v>
      </c>
      <c r="K437" s="276" t="s">
        <v>1087</v>
      </c>
      <c r="L437" s="33">
        <v>1</v>
      </c>
      <c r="M437" s="157" t="s">
        <v>1939</v>
      </c>
      <c r="N437" s="157"/>
      <c r="O437" s="157" t="s">
        <v>510</v>
      </c>
      <c r="P437" s="163" t="s">
        <v>1941</v>
      </c>
    </row>
    <row r="438" s="93" customFormat="1" ht="20.1" customHeight="1" spans="1:16">
      <c r="A438" s="263" t="s">
        <v>511</v>
      </c>
      <c r="B438" s="297" t="s">
        <v>277</v>
      </c>
      <c r="C438" s="265">
        <f t="shared" ref="C438:I438" si="88">SUM(C439:C443)</f>
        <v>271</v>
      </c>
      <c r="D438" s="265">
        <f t="shared" si="75"/>
        <v>266</v>
      </c>
      <c r="E438" s="265">
        <f t="shared" si="88"/>
        <v>0</v>
      </c>
      <c r="F438" s="265">
        <f t="shared" si="88"/>
        <v>0</v>
      </c>
      <c r="G438" s="265">
        <f t="shared" si="88"/>
        <v>0</v>
      </c>
      <c r="H438" s="265">
        <f t="shared" si="88"/>
        <v>0</v>
      </c>
      <c r="I438" s="265">
        <f t="shared" si="88"/>
        <v>266</v>
      </c>
      <c r="J438" s="298">
        <f t="shared" si="80"/>
        <v>98.15</v>
      </c>
      <c r="K438" s="284" t="s">
        <v>1082</v>
      </c>
      <c r="L438" s="285"/>
      <c r="M438" s="263" t="s">
        <v>511</v>
      </c>
      <c r="N438" s="263" t="s">
        <v>503</v>
      </c>
      <c r="O438" s="263" t="s">
        <v>511</v>
      </c>
      <c r="P438" s="286" t="s">
        <v>1942</v>
      </c>
    </row>
    <row r="439" s="92" customFormat="1" ht="20.1" customHeight="1" spans="1:16">
      <c r="A439" s="157" t="s">
        <v>1943</v>
      </c>
      <c r="B439" s="269" t="s">
        <v>1944</v>
      </c>
      <c r="C439" s="267"/>
      <c r="D439" s="268">
        <f t="shared" si="75"/>
        <v>0</v>
      </c>
      <c r="E439" s="267"/>
      <c r="F439" s="267"/>
      <c r="G439" s="267"/>
      <c r="H439" s="267"/>
      <c r="I439" s="287"/>
      <c r="J439" s="288">
        <f t="shared" si="80"/>
        <v>0</v>
      </c>
      <c r="K439" s="276" t="s">
        <v>1087</v>
      </c>
      <c r="L439" s="33">
        <v>1</v>
      </c>
      <c r="M439" s="157" t="s">
        <v>1943</v>
      </c>
      <c r="N439" s="157"/>
      <c r="O439" s="157" t="s">
        <v>511</v>
      </c>
      <c r="P439" s="163" t="s">
        <v>1945</v>
      </c>
    </row>
    <row r="440" s="92" customFormat="1" ht="20.1" customHeight="1" spans="1:16">
      <c r="A440" s="157" t="s">
        <v>1946</v>
      </c>
      <c r="B440" s="266" t="s">
        <v>1947</v>
      </c>
      <c r="C440" s="267">
        <v>271</v>
      </c>
      <c r="D440" s="268">
        <f t="shared" si="75"/>
        <v>266</v>
      </c>
      <c r="E440" s="267"/>
      <c r="F440" s="267"/>
      <c r="G440" s="267"/>
      <c r="H440" s="267"/>
      <c r="I440" s="287">
        <v>266</v>
      </c>
      <c r="J440" s="288">
        <f t="shared" si="80"/>
        <v>98.15</v>
      </c>
      <c r="K440" s="276" t="s">
        <v>1087</v>
      </c>
      <c r="L440" s="33">
        <v>1</v>
      </c>
      <c r="M440" s="157" t="s">
        <v>1946</v>
      </c>
      <c r="N440" s="157"/>
      <c r="O440" s="157" t="s">
        <v>511</v>
      </c>
      <c r="P440" s="163" t="s">
        <v>1948</v>
      </c>
    </row>
    <row r="441" s="92" customFormat="1" ht="20.1" customHeight="1" spans="1:16">
      <c r="A441" s="157" t="s">
        <v>1949</v>
      </c>
      <c r="B441" s="266" t="s">
        <v>1950</v>
      </c>
      <c r="C441" s="267"/>
      <c r="D441" s="268">
        <f t="shared" si="75"/>
        <v>0</v>
      </c>
      <c r="E441" s="267"/>
      <c r="F441" s="267"/>
      <c r="G441" s="267"/>
      <c r="H441" s="267"/>
      <c r="I441" s="287"/>
      <c r="J441" s="288">
        <f t="shared" si="80"/>
        <v>0</v>
      </c>
      <c r="K441" s="276" t="s">
        <v>1087</v>
      </c>
      <c r="L441" s="33">
        <v>1</v>
      </c>
      <c r="M441" s="157" t="s">
        <v>1949</v>
      </c>
      <c r="N441" s="157"/>
      <c r="O441" s="157" t="s">
        <v>511</v>
      </c>
      <c r="P441" s="163" t="s">
        <v>1951</v>
      </c>
    </row>
    <row r="442" s="92" customFormat="1" ht="20.1" customHeight="1" spans="1:16">
      <c r="A442" s="157" t="s">
        <v>1952</v>
      </c>
      <c r="B442" s="266" t="s">
        <v>1953</v>
      </c>
      <c r="C442" s="267"/>
      <c r="D442" s="268">
        <f t="shared" si="75"/>
        <v>0</v>
      </c>
      <c r="E442" s="267"/>
      <c r="F442" s="267"/>
      <c r="G442" s="267"/>
      <c r="H442" s="267"/>
      <c r="I442" s="287"/>
      <c r="J442" s="288">
        <f t="shared" si="80"/>
        <v>0</v>
      </c>
      <c r="K442" s="276" t="s">
        <v>1087</v>
      </c>
      <c r="L442" s="33">
        <v>1</v>
      </c>
      <c r="M442" s="157" t="s">
        <v>1952</v>
      </c>
      <c r="N442" s="157"/>
      <c r="O442" s="157" t="s">
        <v>511</v>
      </c>
      <c r="P442" s="163" t="s">
        <v>1954</v>
      </c>
    </row>
    <row r="443" s="92" customFormat="1" ht="20.1" customHeight="1" spans="1:16">
      <c r="A443" s="157" t="s">
        <v>1955</v>
      </c>
      <c r="B443" s="266" t="s">
        <v>1956</v>
      </c>
      <c r="C443" s="267"/>
      <c r="D443" s="268">
        <f t="shared" si="75"/>
        <v>0</v>
      </c>
      <c r="E443" s="267"/>
      <c r="F443" s="267"/>
      <c r="G443" s="267"/>
      <c r="H443" s="267"/>
      <c r="I443" s="287"/>
      <c r="J443" s="288">
        <f t="shared" si="80"/>
        <v>0</v>
      </c>
      <c r="K443" s="276" t="s">
        <v>1087</v>
      </c>
      <c r="L443" s="33">
        <v>1</v>
      </c>
      <c r="M443" s="157" t="s">
        <v>1955</v>
      </c>
      <c r="N443" s="157"/>
      <c r="O443" s="157" t="s">
        <v>511</v>
      </c>
      <c r="P443" s="163" t="s">
        <v>1957</v>
      </c>
    </row>
    <row r="444" s="93" customFormat="1" ht="20.1" customHeight="1" spans="1:16">
      <c r="A444" s="263" t="s">
        <v>512</v>
      </c>
      <c r="B444" s="635" t="s">
        <v>278</v>
      </c>
      <c r="C444" s="265">
        <f t="shared" ref="C444:I444" si="89">SUM(C445:C450)</f>
        <v>40</v>
      </c>
      <c r="D444" s="265">
        <f t="shared" si="75"/>
        <v>4063</v>
      </c>
      <c r="E444" s="265">
        <f t="shared" si="89"/>
        <v>0</v>
      </c>
      <c r="F444" s="265">
        <f t="shared" si="89"/>
        <v>0</v>
      </c>
      <c r="G444" s="265">
        <f t="shared" si="89"/>
        <v>3123</v>
      </c>
      <c r="H444" s="265">
        <f t="shared" si="89"/>
        <v>0</v>
      </c>
      <c r="I444" s="265">
        <f t="shared" si="89"/>
        <v>940</v>
      </c>
      <c r="J444" s="298">
        <f t="shared" si="80"/>
        <v>10157.5</v>
      </c>
      <c r="K444" s="284" t="s">
        <v>1082</v>
      </c>
      <c r="L444" s="285"/>
      <c r="M444" s="263" t="s">
        <v>512</v>
      </c>
      <c r="N444" s="263" t="s">
        <v>503</v>
      </c>
      <c r="O444" s="263" t="s">
        <v>512</v>
      </c>
      <c r="P444" s="286" t="s">
        <v>1958</v>
      </c>
    </row>
    <row r="445" s="92" customFormat="1" ht="20.1" customHeight="1" spans="1:16">
      <c r="A445" s="157" t="s">
        <v>1959</v>
      </c>
      <c r="B445" s="269" t="s">
        <v>1960</v>
      </c>
      <c r="C445" s="267">
        <v>40</v>
      </c>
      <c r="D445" s="268">
        <f t="shared" si="75"/>
        <v>4063</v>
      </c>
      <c r="E445" s="267"/>
      <c r="F445" s="267"/>
      <c r="G445" s="267">
        <v>3123</v>
      </c>
      <c r="H445" s="267"/>
      <c r="I445" s="287">
        <v>940</v>
      </c>
      <c r="J445" s="288">
        <f t="shared" si="80"/>
        <v>10157.5</v>
      </c>
      <c r="K445" s="276" t="s">
        <v>1087</v>
      </c>
      <c r="L445" s="33">
        <v>1</v>
      </c>
      <c r="M445" s="157" t="s">
        <v>1959</v>
      </c>
      <c r="N445" s="157"/>
      <c r="O445" s="157" t="s">
        <v>512</v>
      </c>
      <c r="P445" s="164" t="s">
        <v>1961</v>
      </c>
    </row>
    <row r="446" s="92" customFormat="1" ht="20.1" customHeight="1" spans="1:16">
      <c r="A446" s="157" t="s">
        <v>1962</v>
      </c>
      <c r="B446" s="269" t="s">
        <v>1963</v>
      </c>
      <c r="C446" s="267">
        <v>0</v>
      </c>
      <c r="D446" s="268">
        <f t="shared" si="75"/>
        <v>0</v>
      </c>
      <c r="E446" s="267"/>
      <c r="F446" s="267"/>
      <c r="G446" s="267"/>
      <c r="H446" s="267"/>
      <c r="I446" s="287"/>
      <c r="J446" s="288">
        <f t="shared" si="80"/>
        <v>0</v>
      </c>
      <c r="K446" s="276" t="s">
        <v>1087</v>
      </c>
      <c r="L446" s="33">
        <v>1</v>
      </c>
      <c r="M446" s="157" t="s">
        <v>1962</v>
      </c>
      <c r="N446" s="157"/>
      <c r="O446" s="157" t="s">
        <v>512</v>
      </c>
      <c r="P446" s="164" t="s">
        <v>1964</v>
      </c>
    </row>
    <row r="447" s="92" customFormat="1" ht="20.1" customHeight="1" spans="1:16">
      <c r="A447" s="157" t="s">
        <v>1965</v>
      </c>
      <c r="B447" s="269" t="s">
        <v>1966</v>
      </c>
      <c r="C447" s="267">
        <v>0</v>
      </c>
      <c r="D447" s="268">
        <f t="shared" si="75"/>
        <v>0</v>
      </c>
      <c r="E447" s="267"/>
      <c r="F447" s="267"/>
      <c r="G447" s="267"/>
      <c r="H447" s="267"/>
      <c r="I447" s="287"/>
      <c r="J447" s="288">
        <f t="shared" si="80"/>
        <v>0</v>
      </c>
      <c r="K447" s="276" t="s">
        <v>1087</v>
      </c>
      <c r="L447" s="33">
        <v>1</v>
      </c>
      <c r="M447" s="157" t="s">
        <v>1965</v>
      </c>
      <c r="N447" s="157"/>
      <c r="O447" s="157" t="s">
        <v>512</v>
      </c>
      <c r="P447" s="164" t="s">
        <v>1967</v>
      </c>
    </row>
    <row r="448" s="92" customFormat="1" ht="20.1" customHeight="1" spans="1:16">
      <c r="A448" s="157" t="s">
        <v>1968</v>
      </c>
      <c r="B448" s="36" t="s">
        <v>1969</v>
      </c>
      <c r="C448" s="267">
        <v>0</v>
      </c>
      <c r="D448" s="268">
        <f t="shared" si="75"/>
        <v>0</v>
      </c>
      <c r="E448" s="267"/>
      <c r="F448" s="267"/>
      <c r="G448" s="267"/>
      <c r="H448" s="267"/>
      <c r="I448" s="287"/>
      <c r="J448" s="288">
        <f t="shared" si="80"/>
        <v>0</v>
      </c>
      <c r="K448" s="276" t="s">
        <v>1087</v>
      </c>
      <c r="L448" s="33">
        <v>1</v>
      </c>
      <c r="M448" s="157" t="s">
        <v>1968</v>
      </c>
      <c r="N448" s="157"/>
      <c r="O448" s="157" t="s">
        <v>512</v>
      </c>
      <c r="P448" s="164" t="s">
        <v>1970</v>
      </c>
    </row>
    <row r="449" s="92" customFormat="1" ht="20.1" customHeight="1" spans="1:16">
      <c r="A449" s="157" t="s">
        <v>1971</v>
      </c>
      <c r="B449" s="266" t="s">
        <v>1972</v>
      </c>
      <c r="C449" s="267">
        <v>0</v>
      </c>
      <c r="D449" s="268">
        <f t="shared" si="75"/>
        <v>0</v>
      </c>
      <c r="E449" s="267"/>
      <c r="F449" s="267"/>
      <c r="G449" s="267"/>
      <c r="H449" s="267"/>
      <c r="I449" s="287"/>
      <c r="J449" s="288">
        <f t="shared" si="80"/>
        <v>0</v>
      </c>
      <c r="K449" s="276" t="s">
        <v>1087</v>
      </c>
      <c r="L449" s="33">
        <v>1</v>
      </c>
      <c r="M449" s="157" t="s">
        <v>1971</v>
      </c>
      <c r="N449" s="157"/>
      <c r="O449" s="157" t="s">
        <v>512</v>
      </c>
      <c r="P449" s="164" t="s">
        <v>1973</v>
      </c>
    </row>
    <row r="450" s="92" customFormat="1" ht="20.1" customHeight="1" spans="1:16">
      <c r="A450" s="157" t="s">
        <v>1974</v>
      </c>
      <c r="B450" s="266" t="s">
        <v>1975</v>
      </c>
      <c r="C450" s="267">
        <v>0</v>
      </c>
      <c r="D450" s="268">
        <f t="shared" si="75"/>
        <v>0</v>
      </c>
      <c r="E450" s="267"/>
      <c r="F450" s="267"/>
      <c r="G450" s="267"/>
      <c r="H450" s="267"/>
      <c r="I450" s="287"/>
      <c r="J450" s="288">
        <f t="shared" si="80"/>
        <v>0</v>
      </c>
      <c r="K450" s="276" t="s">
        <v>1087</v>
      </c>
      <c r="L450" s="33">
        <v>1</v>
      </c>
      <c r="M450" s="157" t="s">
        <v>1974</v>
      </c>
      <c r="N450" s="157"/>
      <c r="O450" s="157" t="s">
        <v>512</v>
      </c>
      <c r="P450" s="163" t="s">
        <v>1976</v>
      </c>
    </row>
    <row r="451" s="93" customFormat="1" ht="20.1" customHeight="1" spans="1:16">
      <c r="A451" s="263" t="s">
        <v>513</v>
      </c>
      <c r="B451" s="297" t="s">
        <v>279</v>
      </c>
      <c r="C451" s="265">
        <f t="shared" ref="C451:I451" si="90">SUM(C452)</f>
        <v>0</v>
      </c>
      <c r="D451" s="265">
        <f t="shared" si="75"/>
        <v>0</v>
      </c>
      <c r="E451" s="265">
        <f t="shared" si="90"/>
        <v>0</v>
      </c>
      <c r="F451" s="265">
        <f t="shared" si="90"/>
        <v>0</v>
      </c>
      <c r="G451" s="265">
        <f t="shared" si="90"/>
        <v>0</v>
      </c>
      <c r="H451" s="265">
        <f t="shared" si="90"/>
        <v>0</v>
      </c>
      <c r="I451" s="265">
        <f t="shared" si="90"/>
        <v>0</v>
      </c>
      <c r="J451" s="298">
        <f t="shared" si="80"/>
        <v>0</v>
      </c>
      <c r="K451" s="284" t="s">
        <v>1082</v>
      </c>
      <c r="L451" s="285">
        <v>1</v>
      </c>
      <c r="M451" s="263" t="s">
        <v>513</v>
      </c>
      <c r="N451" s="263" t="s">
        <v>503</v>
      </c>
      <c r="O451" s="263" t="s">
        <v>513</v>
      </c>
      <c r="P451" s="286" t="s">
        <v>1977</v>
      </c>
    </row>
    <row r="452" s="92" customFormat="1" ht="20.1" customHeight="1" spans="1:16">
      <c r="A452" s="157" t="s">
        <v>1978</v>
      </c>
      <c r="B452" s="269" t="s">
        <v>1979</v>
      </c>
      <c r="C452" s="267"/>
      <c r="D452" s="267">
        <f t="shared" ref="D452:D503" si="91">SUM(E452:I452)</f>
        <v>0</v>
      </c>
      <c r="E452" s="267"/>
      <c r="F452" s="267"/>
      <c r="G452" s="267"/>
      <c r="H452" s="267"/>
      <c r="I452" s="267"/>
      <c r="J452" s="159"/>
      <c r="K452" s="276" t="s">
        <v>1087</v>
      </c>
      <c r="L452" s="33">
        <v>1</v>
      </c>
      <c r="M452" s="157" t="s">
        <v>1978</v>
      </c>
      <c r="N452" s="157"/>
      <c r="O452" s="157" t="s">
        <v>513</v>
      </c>
      <c r="P452" s="163" t="s">
        <v>1977</v>
      </c>
    </row>
    <row r="453" s="93" customFormat="1" ht="20.1" customHeight="1" spans="1:16">
      <c r="A453" s="154" t="s">
        <v>514</v>
      </c>
      <c r="B453" s="261" t="s">
        <v>280</v>
      </c>
      <c r="C453" s="262">
        <f t="shared" ref="C453:I453" si="92">C454+C459+C468+C474+C479+C484+C489+C496+C500+C504</f>
        <v>1221</v>
      </c>
      <c r="D453" s="262">
        <f t="shared" si="91"/>
        <v>2227</v>
      </c>
      <c r="E453" s="262">
        <f t="shared" si="92"/>
        <v>0</v>
      </c>
      <c r="F453" s="262">
        <f t="shared" si="92"/>
        <v>0</v>
      </c>
      <c r="G453" s="262">
        <f t="shared" si="92"/>
        <v>57</v>
      </c>
      <c r="H453" s="262">
        <f t="shared" si="92"/>
        <v>0</v>
      </c>
      <c r="I453" s="262">
        <f t="shared" si="92"/>
        <v>2170</v>
      </c>
      <c r="J453" s="279">
        <f t="shared" ref="J453:J465" si="93">ROUND(IF(C453=0,IF(D453=0,0,1),IF(D453=0,-1,D453/C453)),4)*100</f>
        <v>182.39</v>
      </c>
      <c r="K453" s="280" t="s">
        <v>1081</v>
      </c>
      <c r="L453" s="281"/>
      <c r="M453" s="154" t="s">
        <v>514</v>
      </c>
      <c r="N453" s="154" t="s">
        <v>514</v>
      </c>
      <c r="O453" s="154" t="s">
        <v>514</v>
      </c>
      <c r="P453" s="282" t="s">
        <v>1980</v>
      </c>
    </row>
    <row r="454" s="93" customFormat="1" ht="20.1" customHeight="1" spans="1:16">
      <c r="A454" s="263" t="s">
        <v>515</v>
      </c>
      <c r="B454" s="297" t="s">
        <v>281</v>
      </c>
      <c r="C454" s="265">
        <f t="shared" ref="C454:I454" si="94">SUM(C455:C458)</f>
        <v>318</v>
      </c>
      <c r="D454" s="265">
        <f t="shared" si="91"/>
        <v>217</v>
      </c>
      <c r="E454" s="265">
        <f t="shared" si="94"/>
        <v>0</v>
      </c>
      <c r="F454" s="265">
        <f t="shared" si="94"/>
        <v>0</v>
      </c>
      <c r="G454" s="265">
        <f t="shared" si="94"/>
        <v>0</v>
      </c>
      <c r="H454" s="265">
        <f t="shared" si="94"/>
        <v>0</v>
      </c>
      <c r="I454" s="265">
        <f t="shared" si="94"/>
        <v>217</v>
      </c>
      <c r="J454" s="298">
        <f t="shared" si="93"/>
        <v>68.24</v>
      </c>
      <c r="K454" s="284" t="s">
        <v>1082</v>
      </c>
      <c r="L454" s="285"/>
      <c r="M454" s="263" t="s">
        <v>515</v>
      </c>
      <c r="N454" s="263" t="s">
        <v>514</v>
      </c>
      <c r="O454" s="263" t="s">
        <v>515</v>
      </c>
      <c r="P454" s="286" t="s">
        <v>1981</v>
      </c>
    </row>
    <row r="455" s="92" customFormat="1" ht="20.1" customHeight="1" spans="1:16">
      <c r="A455" s="157" t="s">
        <v>1982</v>
      </c>
      <c r="B455" s="266" t="s">
        <v>1086</v>
      </c>
      <c r="C455" s="267">
        <v>236</v>
      </c>
      <c r="D455" s="268">
        <f t="shared" si="91"/>
        <v>214</v>
      </c>
      <c r="E455" s="267"/>
      <c r="F455" s="267"/>
      <c r="G455" s="267"/>
      <c r="H455" s="267"/>
      <c r="I455" s="287">
        <v>214</v>
      </c>
      <c r="J455" s="288">
        <f t="shared" si="93"/>
        <v>90.68</v>
      </c>
      <c r="K455" s="276" t="s">
        <v>1087</v>
      </c>
      <c r="L455" s="33">
        <v>1</v>
      </c>
      <c r="M455" s="157" t="s">
        <v>1982</v>
      </c>
      <c r="N455" s="157"/>
      <c r="O455" s="157" t="s">
        <v>515</v>
      </c>
      <c r="P455" s="164" t="s">
        <v>1088</v>
      </c>
    </row>
    <row r="456" s="92" customFormat="1" ht="20.1" customHeight="1" spans="1:16">
      <c r="A456" s="157" t="s">
        <v>1983</v>
      </c>
      <c r="B456" s="266" t="s">
        <v>1090</v>
      </c>
      <c r="C456" s="267">
        <v>82</v>
      </c>
      <c r="D456" s="268">
        <f t="shared" si="91"/>
        <v>3</v>
      </c>
      <c r="E456" s="267"/>
      <c r="F456" s="267"/>
      <c r="G456" s="267"/>
      <c r="H456" s="267"/>
      <c r="I456" s="287">
        <v>3</v>
      </c>
      <c r="J456" s="288">
        <f t="shared" si="93"/>
        <v>3.66</v>
      </c>
      <c r="K456" s="276" t="s">
        <v>1087</v>
      </c>
      <c r="L456" s="33">
        <v>1</v>
      </c>
      <c r="M456" s="157" t="s">
        <v>1983</v>
      </c>
      <c r="N456" s="157"/>
      <c r="O456" s="157" t="s">
        <v>515</v>
      </c>
      <c r="P456" s="164" t="s">
        <v>1091</v>
      </c>
    </row>
    <row r="457" s="92" customFormat="1" ht="20.1" customHeight="1" spans="1:16">
      <c r="A457" s="157" t="s">
        <v>1984</v>
      </c>
      <c r="B457" s="266" t="s">
        <v>1093</v>
      </c>
      <c r="C457" s="267"/>
      <c r="D457" s="268">
        <f t="shared" si="91"/>
        <v>0</v>
      </c>
      <c r="E457" s="267"/>
      <c r="F457" s="267"/>
      <c r="G457" s="267"/>
      <c r="H457" s="267"/>
      <c r="I457" s="287"/>
      <c r="J457" s="288">
        <f t="shared" si="93"/>
        <v>0</v>
      </c>
      <c r="K457" s="276" t="s">
        <v>1087</v>
      </c>
      <c r="L457" s="33">
        <v>1</v>
      </c>
      <c r="M457" s="157" t="s">
        <v>1984</v>
      </c>
      <c r="N457" s="157"/>
      <c r="O457" s="157" t="s">
        <v>515</v>
      </c>
      <c r="P457" s="164" t="s">
        <v>1094</v>
      </c>
    </row>
    <row r="458" s="92" customFormat="1" ht="20.1" customHeight="1" spans="1:16">
      <c r="A458" s="157" t="s">
        <v>1985</v>
      </c>
      <c r="B458" s="269" t="s">
        <v>1986</v>
      </c>
      <c r="C458" s="267"/>
      <c r="D458" s="268">
        <f t="shared" si="91"/>
        <v>0</v>
      </c>
      <c r="E458" s="267"/>
      <c r="F458" s="267"/>
      <c r="G458" s="267"/>
      <c r="H458" s="267"/>
      <c r="I458" s="287"/>
      <c r="J458" s="288">
        <f t="shared" si="93"/>
        <v>0</v>
      </c>
      <c r="K458" s="276" t="s">
        <v>1087</v>
      </c>
      <c r="L458" s="33">
        <v>1</v>
      </c>
      <c r="M458" s="157" t="s">
        <v>1985</v>
      </c>
      <c r="N458" s="157"/>
      <c r="O458" s="157" t="s">
        <v>515</v>
      </c>
      <c r="P458" s="163" t="s">
        <v>1987</v>
      </c>
    </row>
    <row r="459" s="93" customFormat="1" ht="20.1" customHeight="1" spans="1:16">
      <c r="A459" s="263" t="s">
        <v>516</v>
      </c>
      <c r="B459" s="297" t="s">
        <v>282</v>
      </c>
      <c r="C459" s="265">
        <f t="shared" ref="C459:I459" si="95">SUM(C460:C467)</f>
        <v>200</v>
      </c>
      <c r="D459" s="265">
        <f t="shared" si="91"/>
        <v>196</v>
      </c>
      <c r="E459" s="265">
        <f t="shared" si="95"/>
        <v>0</v>
      </c>
      <c r="F459" s="265">
        <f t="shared" si="95"/>
        <v>0</v>
      </c>
      <c r="G459" s="265">
        <f t="shared" si="95"/>
        <v>0</v>
      </c>
      <c r="H459" s="265">
        <f t="shared" si="95"/>
        <v>0</v>
      </c>
      <c r="I459" s="265">
        <f t="shared" si="95"/>
        <v>196</v>
      </c>
      <c r="J459" s="298">
        <f t="shared" si="93"/>
        <v>98</v>
      </c>
      <c r="K459" s="284" t="s">
        <v>1082</v>
      </c>
      <c r="L459" s="285"/>
      <c r="M459" s="263" t="s">
        <v>516</v>
      </c>
      <c r="N459" s="263" t="s">
        <v>514</v>
      </c>
      <c r="O459" s="263" t="s">
        <v>516</v>
      </c>
      <c r="P459" s="286" t="s">
        <v>1988</v>
      </c>
    </row>
    <row r="460" s="92" customFormat="1" ht="20.1" customHeight="1" spans="1:16">
      <c r="A460" s="157" t="s">
        <v>1989</v>
      </c>
      <c r="B460" s="266" t="s">
        <v>1990</v>
      </c>
      <c r="C460" s="267">
        <v>200</v>
      </c>
      <c r="D460" s="268">
        <f t="shared" si="91"/>
        <v>196</v>
      </c>
      <c r="E460" s="267"/>
      <c r="F460" s="267"/>
      <c r="G460" s="267"/>
      <c r="H460" s="267"/>
      <c r="I460" s="287">
        <v>196</v>
      </c>
      <c r="J460" s="288">
        <f t="shared" si="93"/>
        <v>98</v>
      </c>
      <c r="K460" s="276" t="s">
        <v>1087</v>
      </c>
      <c r="L460" s="33">
        <v>1</v>
      </c>
      <c r="M460" s="157" t="s">
        <v>1989</v>
      </c>
      <c r="N460" s="157"/>
      <c r="O460" s="157" t="s">
        <v>516</v>
      </c>
      <c r="P460" s="164" t="s">
        <v>1991</v>
      </c>
    </row>
    <row r="461" s="92" customFormat="1" ht="20.1" customHeight="1" spans="1:16">
      <c r="A461" s="157" t="s">
        <v>1992</v>
      </c>
      <c r="B461" s="36" t="s">
        <v>1993</v>
      </c>
      <c r="C461" s="267"/>
      <c r="D461" s="268">
        <f t="shared" si="91"/>
        <v>0</v>
      </c>
      <c r="E461" s="267"/>
      <c r="F461" s="267"/>
      <c r="G461" s="267"/>
      <c r="H461" s="267"/>
      <c r="I461" s="287"/>
      <c r="J461" s="288">
        <f t="shared" si="93"/>
        <v>0</v>
      </c>
      <c r="K461" s="276" t="s">
        <v>1087</v>
      </c>
      <c r="L461" s="33">
        <v>1</v>
      </c>
      <c r="M461" s="157" t="s">
        <v>1992</v>
      </c>
      <c r="N461" s="157"/>
      <c r="O461" s="157" t="s">
        <v>516</v>
      </c>
      <c r="P461" s="163" t="s">
        <v>1994</v>
      </c>
    </row>
    <row r="462" s="92" customFormat="1" ht="20.1" customHeight="1" spans="1:16">
      <c r="A462" s="157" t="s">
        <v>1995</v>
      </c>
      <c r="B462" s="266" t="s">
        <v>1996</v>
      </c>
      <c r="C462" s="267"/>
      <c r="D462" s="268">
        <f t="shared" si="91"/>
        <v>0</v>
      </c>
      <c r="E462" s="267"/>
      <c r="F462" s="267"/>
      <c r="G462" s="267"/>
      <c r="H462" s="267"/>
      <c r="I462" s="287"/>
      <c r="J462" s="288">
        <f t="shared" si="93"/>
        <v>0</v>
      </c>
      <c r="K462" s="276" t="s">
        <v>1087</v>
      </c>
      <c r="L462" s="33">
        <v>1</v>
      </c>
      <c r="M462" s="157" t="s">
        <v>1995</v>
      </c>
      <c r="N462" s="157"/>
      <c r="O462" s="157" t="s">
        <v>516</v>
      </c>
      <c r="P462" s="163" t="s">
        <v>1997</v>
      </c>
    </row>
    <row r="463" s="92" customFormat="1" ht="20.1" customHeight="1" spans="1:16">
      <c r="A463" s="157" t="s">
        <v>1998</v>
      </c>
      <c r="B463" s="266" t="s">
        <v>1999</v>
      </c>
      <c r="C463" s="267"/>
      <c r="D463" s="268">
        <f t="shared" si="91"/>
        <v>0</v>
      </c>
      <c r="E463" s="267"/>
      <c r="F463" s="267"/>
      <c r="G463" s="267"/>
      <c r="H463" s="267"/>
      <c r="I463" s="287"/>
      <c r="J463" s="288">
        <f t="shared" si="93"/>
        <v>0</v>
      </c>
      <c r="K463" s="276" t="s">
        <v>1087</v>
      </c>
      <c r="L463" s="33">
        <v>1</v>
      </c>
      <c r="M463" s="157" t="s">
        <v>1998</v>
      </c>
      <c r="N463" s="157"/>
      <c r="O463" s="157" t="s">
        <v>516</v>
      </c>
      <c r="P463" s="163" t="s">
        <v>2000</v>
      </c>
    </row>
    <row r="464" s="92" customFormat="1" ht="20.1" customHeight="1" spans="1:16">
      <c r="A464" s="157" t="s">
        <v>2001</v>
      </c>
      <c r="B464" s="266" t="s">
        <v>2002</v>
      </c>
      <c r="C464" s="267"/>
      <c r="D464" s="268">
        <f t="shared" si="91"/>
        <v>0</v>
      </c>
      <c r="E464" s="267"/>
      <c r="F464" s="267"/>
      <c r="G464" s="267"/>
      <c r="H464" s="267"/>
      <c r="I464" s="287"/>
      <c r="J464" s="288">
        <f t="shared" si="93"/>
        <v>0</v>
      </c>
      <c r="K464" s="276" t="s">
        <v>1087</v>
      </c>
      <c r="L464" s="33">
        <v>1</v>
      </c>
      <c r="M464" s="157" t="s">
        <v>2001</v>
      </c>
      <c r="N464" s="157"/>
      <c r="O464" s="157" t="s">
        <v>516</v>
      </c>
      <c r="P464" s="163" t="s">
        <v>2003</v>
      </c>
    </row>
    <row r="465" s="92" customFormat="1" ht="20.1" customHeight="1" spans="1:16">
      <c r="A465" s="157" t="s">
        <v>2004</v>
      </c>
      <c r="B465" s="269" t="s">
        <v>2005</v>
      </c>
      <c r="C465" s="267"/>
      <c r="D465" s="268">
        <f t="shared" si="91"/>
        <v>0</v>
      </c>
      <c r="E465" s="267"/>
      <c r="F465" s="267"/>
      <c r="G465" s="267"/>
      <c r="H465" s="267"/>
      <c r="I465" s="287"/>
      <c r="J465" s="288">
        <f t="shared" si="93"/>
        <v>0</v>
      </c>
      <c r="K465" s="276" t="s">
        <v>1087</v>
      </c>
      <c r="L465" s="33">
        <v>1</v>
      </c>
      <c r="M465" s="157" t="s">
        <v>2004</v>
      </c>
      <c r="N465" s="157"/>
      <c r="O465" s="157" t="s">
        <v>516</v>
      </c>
      <c r="P465" s="163" t="s">
        <v>2006</v>
      </c>
    </row>
    <row r="466" s="92" customFormat="1" ht="20.1" customHeight="1" spans="1:16">
      <c r="A466" s="157" t="s">
        <v>2007</v>
      </c>
      <c r="B466" s="269" t="s">
        <v>2008</v>
      </c>
      <c r="C466" s="267"/>
      <c r="D466" s="268">
        <f t="shared" si="91"/>
        <v>0</v>
      </c>
      <c r="E466" s="267"/>
      <c r="F466" s="267"/>
      <c r="G466" s="267"/>
      <c r="H466" s="267"/>
      <c r="I466" s="287"/>
      <c r="J466" s="288"/>
      <c r="K466" s="276" t="s">
        <v>1087</v>
      </c>
      <c r="L466" s="33">
        <v>1</v>
      </c>
      <c r="M466" s="157" t="s">
        <v>2007</v>
      </c>
      <c r="N466" s="157"/>
      <c r="O466" s="157" t="s">
        <v>516</v>
      </c>
      <c r="P466" s="163" t="s">
        <v>2009</v>
      </c>
    </row>
    <row r="467" s="92" customFormat="1" ht="20.1" customHeight="1" spans="1:16">
      <c r="A467" s="157" t="s">
        <v>2010</v>
      </c>
      <c r="B467" s="269" t="s">
        <v>2011</v>
      </c>
      <c r="C467" s="267"/>
      <c r="D467" s="268">
        <f t="shared" si="91"/>
        <v>0</v>
      </c>
      <c r="E467" s="267"/>
      <c r="F467" s="267"/>
      <c r="G467" s="267"/>
      <c r="H467" s="267"/>
      <c r="I467" s="287"/>
      <c r="J467" s="288">
        <f t="shared" ref="J467:J476" si="96">ROUND(IF(C467=0,IF(D467=0,0,1),IF(D467=0,-1,D467/C467)),4)*100</f>
        <v>0</v>
      </c>
      <c r="K467" s="276" t="s">
        <v>1087</v>
      </c>
      <c r="L467" s="33">
        <v>1</v>
      </c>
      <c r="M467" s="157" t="s">
        <v>2010</v>
      </c>
      <c r="N467" s="157"/>
      <c r="O467" s="157" t="s">
        <v>516</v>
      </c>
      <c r="P467" s="163" t="s">
        <v>2012</v>
      </c>
    </row>
    <row r="468" s="93" customFormat="1" ht="20.1" customHeight="1" spans="1:16">
      <c r="A468" s="263" t="s">
        <v>517</v>
      </c>
      <c r="B468" s="297" t="s">
        <v>283</v>
      </c>
      <c r="C468" s="265">
        <f t="shared" ref="C468:F468" si="97">SUM(C469:C473)</f>
        <v>0</v>
      </c>
      <c r="D468" s="265">
        <f t="shared" si="91"/>
        <v>0</v>
      </c>
      <c r="E468" s="265">
        <f t="shared" si="97"/>
        <v>0</v>
      </c>
      <c r="F468" s="265">
        <f t="shared" si="97"/>
        <v>0</v>
      </c>
      <c r="G468" s="265">
        <f>VLOOKUP(A468,[1]√表四、2024年公共财政支出变动表!$A$7:$R$214,18,FALSE)</f>
        <v>0</v>
      </c>
      <c r="H468" s="265">
        <f>SUM(H469:H473)</f>
        <v>0</v>
      </c>
      <c r="I468" s="265"/>
      <c r="J468" s="298">
        <f t="shared" si="96"/>
        <v>0</v>
      </c>
      <c r="K468" s="284" t="s">
        <v>1082</v>
      </c>
      <c r="L468" s="285"/>
      <c r="M468" s="263" t="s">
        <v>517</v>
      </c>
      <c r="N468" s="263" t="s">
        <v>514</v>
      </c>
      <c r="O468" s="263" t="s">
        <v>517</v>
      </c>
      <c r="P468" s="286" t="s">
        <v>2013</v>
      </c>
    </row>
    <row r="469" s="92" customFormat="1" ht="20.1" customHeight="1" spans="1:16">
      <c r="A469" s="157" t="s">
        <v>2014</v>
      </c>
      <c r="B469" s="266" t="s">
        <v>1990</v>
      </c>
      <c r="C469" s="267">
        <v>0</v>
      </c>
      <c r="D469" s="268">
        <f t="shared" si="91"/>
        <v>0</v>
      </c>
      <c r="E469" s="267"/>
      <c r="F469" s="267"/>
      <c r="G469" s="267"/>
      <c r="H469" s="267"/>
      <c r="I469" s="287"/>
      <c r="J469" s="288">
        <f t="shared" si="96"/>
        <v>0</v>
      </c>
      <c r="K469" s="276" t="s">
        <v>1087</v>
      </c>
      <c r="L469" s="33">
        <v>1</v>
      </c>
      <c r="M469" s="157" t="s">
        <v>2014</v>
      </c>
      <c r="N469" s="157"/>
      <c r="O469" s="157" t="s">
        <v>517</v>
      </c>
      <c r="P469" s="164" t="s">
        <v>1991</v>
      </c>
    </row>
    <row r="470" s="92" customFormat="1" ht="20.1" customHeight="1" spans="1:16">
      <c r="A470" s="157" t="s">
        <v>2015</v>
      </c>
      <c r="B470" s="266" t="s">
        <v>2016</v>
      </c>
      <c r="C470" s="267"/>
      <c r="D470" s="268">
        <f t="shared" si="91"/>
        <v>0</v>
      </c>
      <c r="E470" s="267"/>
      <c r="F470" s="267"/>
      <c r="G470" s="267"/>
      <c r="H470" s="267"/>
      <c r="I470" s="287"/>
      <c r="J470" s="288">
        <f t="shared" si="96"/>
        <v>0</v>
      </c>
      <c r="K470" s="276" t="s">
        <v>1087</v>
      </c>
      <c r="L470" s="33">
        <v>1</v>
      </c>
      <c r="M470" s="157" t="s">
        <v>2015</v>
      </c>
      <c r="N470" s="157"/>
      <c r="O470" s="157" t="s">
        <v>517</v>
      </c>
      <c r="P470" s="163" t="s">
        <v>2017</v>
      </c>
    </row>
    <row r="471" s="92" customFormat="1" ht="20.1" customHeight="1" spans="1:16">
      <c r="A471" s="157" t="s">
        <v>2018</v>
      </c>
      <c r="B471" s="266" t="s">
        <v>2019</v>
      </c>
      <c r="C471" s="267">
        <v>0</v>
      </c>
      <c r="D471" s="268">
        <f t="shared" si="91"/>
        <v>0</v>
      </c>
      <c r="E471" s="267"/>
      <c r="F471" s="267"/>
      <c r="G471" s="267"/>
      <c r="H471" s="267"/>
      <c r="I471" s="287"/>
      <c r="J471" s="288">
        <f t="shared" si="96"/>
        <v>0</v>
      </c>
      <c r="K471" s="276" t="s">
        <v>1087</v>
      </c>
      <c r="L471" s="33">
        <v>1</v>
      </c>
      <c r="M471" s="157" t="s">
        <v>2018</v>
      </c>
      <c r="N471" s="157"/>
      <c r="O471" s="157" t="s">
        <v>517</v>
      </c>
      <c r="P471" s="163" t="s">
        <v>2020</v>
      </c>
    </row>
    <row r="472" s="92" customFormat="1" ht="20.1" customHeight="1" spans="1:16">
      <c r="A472" s="157" t="s">
        <v>2021</v>
      </c>
      <c r="B472" s="269" t="s">
        <v>2022</v>
      </c>
      <c r="C472" s="267">
        <v>0</v>
      </c>
      <c r="D472" s="268">
        <f t="shared" si="91"/>
        <v>0</v>
      </c>
      <c r="E472" s="267"/>
      <c r="F472" s="267"/>
      <c r="G472" s="267"/>
      <c r="H472" s="267"/>
      <c r="I472" s="287"/>
      <c r="J472" s="288">
        <f t="shared" si="96"/>
        <v>0</v>
      </c>
      <c r="K472" s="276" t="s">
        <v>1087</v>
      </c>
      <c r="L472" s="33">
        <v>1</v>
      </c>
      <c r="M472" s="157" t="s">
        <v>2021</v>
      </c>
      <c r="N472" s="157"/>
      <c r="O472" s="157" t="s">
        <v>517</v>
      </c>
      <c r="P472" s="163" t="s">
        <v>2023</v>
      </c>
    </row>
    <row r="473" s="92" customFormat="1" ht="20.1" customHeight="1" spans="1:16">
      <c r="A473" s="157" t="s">
        <v>2024</v>
      </c>
      <c r="B473" s="269" t="s">
        <v>2025</v>
      </c>
      <c r="C473" s="267">
        <v>0</v>
      </c>
      <c r="D473" s="268">
        <f t="shared" si="91"/>
        <v>0</v>
      </c>
      <c r="E473" s="267"/>
      <c r="F473" s="267"/>
      <c r="G473" s="267"/>
      <c r="H473" s="267"/>
      <c r="I473" s="287"/>
      <c r="J473" s="288">
        <f t="shared" si="96"/>
        <v>0</v>
      </c>
      <c r="K473" s="276" t="s">
        <v>1087</v>
      </c>
      <c r="L473" s="33">
        <v>1</v>
      </c>
      <c r="M473" s="157" t="s">
        <v>2024</v>
      </c>
      <c r="N473" s="157"/>
      <c r="O473" s="157" t="s">
        <v>517</v>
      </c>
      <c r="P473" s="163" t="s">
        <v>2026</v>
      </c>
    </row>
    <row r="474" s="93" customFormat="1" ht="20.1" customHeight="1" spans="1:16">
      <c r="A474" s="263" t="s">
        <v>518</v>
      </c>
      <c r="B474" s="297" t="s">
        <v>284</v>
      </c>
      <c r="C474" s="265">
        <f t="shared" ref="C474:I474" si="98">SUM(C475:C478)</f>
        <v>505</v>
      </c>
      <c r="D474" s="265">
        <f t="shared" si="91"/>
        <v>1674</v>
      </c>
      <c r="E474" s="265">
        <f t="shared" si="98"/>
        <v>0</v>
      </c>
      <c r="F474" s="265">
        <f t="shared" si="98"/>
        <v>0</v>
      </c>
      <c r="G474" s="265">
        <f t="shared" si="98"/>
        <v>0</v>
      </c>
      <c r="H474" s="265">
        <f t="shared" si="98"/>
        <v>0</v>
      </c>
      <c r="I474" s="265">
        <f t="shared" si="98"/>
        <v>1674</v>
      </c>
      <c r="J474" s="298">
        <f t="shared" si="96"/>
        <v>331.49</v>
      </c>
      <c r="K474" s="284" t="s">
        <v>1082</v>
      </c>
      <c r="L474" s="285"/>
      <c r="M474" s="263" t="s">
        <v>518</v>
      </c>
      <c r="N474" s="263" t="s">
        <v>514</v>
      </c>
      <c r="O474" s="263" t="s">
        <v>518</v>
      </c>
      <c r="P474" s="286" t="s">
        <v>2027</v>
      </c>
    </row>
    <row r="475" s="92" customFormat="1" ht="20.1" customHeight="1" spans="1:16">
      <c r="A475" s="157" t="s">
        <v>2028</v>
      </c>
      <c r="B475" s="36" t="s">
        <v>1990</v>
      </c>
      <c r="C475" s="267"/>
      <c r="D475" s="268">
        <f t="shared" si="91"/>
        <v>0</v>
      </c>
      <c r="E475" s="267"/>
      <c r="F475" s="267"/>
      <c r="G475" s="267"/>
      <c r="H475" s="267"/>
      <c r="I475" s="287"/>
      <c r="J475" s="288">
        <f t="shared" si="96"/>
        <v>0</v>
      </c>
      <c r="K475" s="276" t="s">
        <v>1087</v>
      </c>
      <c r="L475" s="33">
        <v>1</v>
      </c>
      <c r="M475" s="157" t="s">
        <v>2028</v>
      </c>
      <c r="N475" s="157"/>
      <c r="O475" s="157" t="s">
        <v>518</v>
      </c>
      <c r="P475" s="164" t="s">
        <v>1991</v>
      </c>
    </row>
    <row r="476" s="92" customFormat="1" ht="20.1" customHeight="1" spans="1:16">
      <c r="A476" s="157" t="s">
        <v>2029</v>
      </c>
      <c r="B476" s="266" t="s">
        <v>2030</v>
      </c>
      <c r="C476" s="267">
        <v>1</v>
      </c>
      <c r="D476" s="268">
        <f t="shared" si="91"/>
        <v>0</v>
      </c>
      <c r="E476" s="267"/>
      <c r="F476" s="267"/>
      <c r="G476" s="267"/>
      <c r="H476" s="267"/>
      <c r="I476" s="287"/>
      <c r="J476" s="288">
        <f t="shared" si="96"/>
        <v>-100</v>
      </c>
      <c r="K476" s="276" t="s">
        <v>1087</v>
      </c>
      <c r="L476" s="33">
        <v>1</v>
      </c>
      <c r="M476" s="157" t="s">
        <v>2029</v>
      </c>
      <c r="N476" s="157"/>
      <c r="O476" s="157" t="s">
        <v>518</v>
      </c>
      <c r="P476" s="163" t="s">
        <v>2031</v>
      </c>
    </row>
    <row r="477" s="92" customFormat="1" ht="20.1" customHeight="1" spans="1:16">
      <c r="A477" s="157" t="s">
        <v>2032</v>
      </c>
      <c r="B477" s="266" t="s">
        <v>2033</v>
      </c>
      <c r="C477" s="267"/>
      <c r="D477" s="268">
        <f t="shared" si="91"/>
        <v>0</v>
      </c>
      <c r="E477" s="267"/>
      <c r="F477" s="267"/>
      <c r="G477" s="267"/>
      <c r="H477" s="267"/>
      <c r="I477" s="287"/>
      <c r="J477" s="288"/>
      <c r="K477" s="276" t="s">
        <v>1087</v>
      </c>
      <c r="L477" s="33">
        <v>1</v>
      </c>
      <c r="M477" s="157" t="s">
        <v>2032</v>
      </c>
      <c r="N477" s="157"/>
      <c r="O477" s="157" t="s">
        <v>518</v>
      </c>
      <c r="P477" s="163" t="s">
        <v>2034</v>
      </c>
    </row>
    <row r="478" s="92" customFormat="1" ht="20.1" customHeight="1" spans="1:16">
      <c r="A478" s="157" t="s">
        <v>2035</v>
      </c>
      <c r="B478" s="269" t="s">
        <v>2036</v>
      </c>
      <c r="C478" s="267">
        <v>504</v>
      </c>
      <c r="D478" s="268">
        <f t="shared" si="91"/>
        <v>1674</v>
      </c>
      <c r="E478" s="267"/>
      <c r="F478" s="267"/>
      <c r="G478" s="267"/>
      <c r="H478" s="267"/>
      <c r="I478" s="287">
        <v>1674</v>
      </c>
      <c r="J478" s="288">
        <f t="shared" ref="J478:J541" si="99">ROUND(IF(C478=0,IF(D478=0,0,1),IF(D478=0,-1,D478/C478)),4)*100</f>
        <v>332.14</v>
      </c>
      <c r="K478" s="276" t="s">
        <v>1087</v>
      </c>
      <c r="L478" s="33">
        <v>1</v>
      </c>
      <c r="M478" s="157" t="s">
        <v>2035</v>
      </c>
      <c r="N478" s="157"/>
      <c r="O478" s="157" t="s">
        <v>518</v>
      </c>
      <c r="P478" s="163" t="s">
        <v>2037</v>
      </c>
    </row>
    <row r="479" s="93" customFormat="1" ht="20.1" customHeight="1" spans="1:16">
      <c r="A479" s="263" t="s">
        <v>519</v>
      </c>
      <c r="B479" s="297" t="s">
        <v>285</v>
      </c>
      <c r="C479" s="265">
        <v>0</v>
      </c>
      <c r="D479" s="265">
        <f t="shared" si="91"/>
        <v>0</v>
      </c>
      <c r="E479" s="265">
        <f t="shared" ref="E479:H479" si="100">SUM(E480:E483)</f>
        <v>0</v>
      </c>
      <c r="F479" s="265">
        <f t="shared" si="100"/>
        <v>0</v>
      </c>
      <c r="G479" s="265">
        <f>VLOOKUP(A479,[1]√表四、2024年公共财政支出变动表!$A$7:$R$214,18,FALSE)</f>
        <v>0</v>
      </c>
      <c r="H479" s="265">
        <f t="shared" si="100"/>
        <v>0</v>
      </c>
      <c r="I479" s="265"/>
      <c r="J479" s="298">
        <f t="shared" si="99"/>
        <v>0</v>
      </c>
      <c r="K479" s="284" t="s">
        <v>1082</v>
      </c>
      <c r="L479" s="285"/>
      <c r="M479" s="263" t="s">
        <v>519</v>
      </c>
      <c r="N479" s="263" t="s">
        <v>514</v>
      </c>
      <c r="O479" s="263" t="s">
        <v>519</v>
      </c>
      <c r="P479" s="286" t="s">
        <v>2038</v>
      </c>
    </row>
    <row r="480" s="92" customFormat="1" ht="20.1" customHeight="1" spans="1:16">
      <c r="A480" s="157" t="s">
        <v>2039</v>
      </c>
      <c r="B480" s="269" t="s">
        <v>1990</v>
      </c>
      <c r="C480" s="267">
        <v>0</v>
      </c>
      <c r="D480" s="268">
        <f t="shared" si="91"/>
        <v>0</v>
      </c>
      <c r="E480" s="267"/>
      <c r="F480" s="267"/>
      <c r="G480" s="267"/>
      <c r="H480" s="267"/>
      <c r="I480" s="287"/>
      <c r="J480" s="288">
        <f t="shared" si="99"/>
        <v>0</v>
      </c>
      <c r="K480" s="276" t="s">
        <v>1087</v>
      </c>
      <c r="L480" s="33">
        <v>1</v>
      </c>
      <c r="M480" s="157" t="s">
        <v>2039</v>
      </c>
      <c r="N480" s="157"/>
      <c r="O480" s="157" t="s">
        <v>519</v>
      </c>
      <c r="P480" s="164" t="s">
        <v>1991</v>
      </c>
    </row>
    <row r="481" s="92" customFormat="1" ht="20.1" customHeight="1" spans="1:16">
      <c r="A481" s="157" t="s">
        <v>2040</v>
      </c>
      <c r="B481" s="266" t="s">
        <v>2041</v>
      </c>
      <c r="C481" s="267">
        <v>0</v>
      </c>
      <c r="D481" s="268">
        <f t="shared" si="91"/>
        <v>0</v>
      </c>
      <c r="E481" s="267"/>
      <c r="F481" s="267"/>
      <c r="G481" s="267"/>
      <c r="H481" s="267"/>
      <c r="I481" s="287"/>
      <c r="J481" s="288">
        <f t="shared" si="99"/>
        <v>0</v>
      </c>
      <c r="K481" s="276" t="s">
        <v>1087</v>
      </c>
      <c r="L481" s="33">
        <v>1</v>
      </c>
      <c r="M481" s="157" t="s">
        <v>2040</v>
      </c>
      <c r="N481" s="157"/>
      <c r="O481" s="157" t="s">
        <v>519</v>
      </c>
      <c r="P481" s="163" t="s">
        <v>2042</v>
      </c>
    </row>
    <row r="482" s="92" customFormat="1" ht="20.1" customHeight="1" spans="1:16">
      <c r="A482" s="157" t="s">
        <v>2043</v>
      </c>
      <c r="B482" s="266" t="s">
        <v>2044</v>
      </c>
      <c r="C482" s="267">
        <v>0</v>
      </c>
      <c r="D482" s="268">
        <f t="shared" si="91"/>
        <v>0</v>
      </c>
      <c r="E482" s="267"/>
      <c r="F482" s="267"/>
      <c r="G482" s="267"/>
      <c r="H482" s="267"/>
      <c r="I482" s="287"/>
      <c r="J482" s="288">
        <f t="shared" si="99"/>
        <v>0</v>
      </c>
      <c r="K482" s="276" t="s">
        <v>1087</v>
      </c>
      <c r="L482" s="33">
        <v>1</v>
      </c>
      <c r="M482" s="157" t="s">
        <v>2043</v>
      </c>
      <c r="N482" s="157"/>
      <c r="O482" s="157" t="s">
        <v>519</v>
      </c>
      <c r="P482" s="163" t="s">
        <v>2045</v>
      </c>
    </row>
    <row r="483" s="92" customFormat="1" ht="20.1" customHeight="1" spans="1:16">
      <c r="A483" s="157" t="s">
        <v>2046</v>
      </c>
      <c r="B483" s="266" t="s">
        <v>2047</v>
      </c>
      <c r="C483" s="267">
        <v>0</v>
      </c>
      <c r="D483" s="268">
        <f t="shared" si="91"/>
        <v>0</v>
      </c>
      <c r="E483" s="267"/>
      <c r="F483" s="267"/>
      <c r="G483" s="267"/>
      <c r="H483" s="267"/>
      <c r="I483" s="287"/>
      <c r="J483" s="288">
        <f t="shared" si="99"/>
        <v>0</v>
      </c>
      <c r="K483" s="276" t="s">
        <v>1087</v>
      </c>
      <c r="L483" s="33">
        <v>1</v>
      </c>
      <c r="M483" s="157" t="s">
        <v>2046</v>
      </c>
      <c r="N483" s="157"/>
      <c r="O483" s="157" t="s">
        <v>519</v>
      </c>
      <c r="P483" s="163" t="s">
        <v>2048</v>
      </c>
    </row>
    <row r="484" s="93" customFormat="1" ht="20.1" customHeight="1" spans="1:16">
      <c r="A484" s="263" t="s">
        <v>520</v>
      </c>
      <c r="B484" s="297" t="s">
        <v>286</v>
      </c>
      <c r="C484" s="265">
        <f t="shared" ref="C484:F484" si="101">SUM(C485:C488)</f>
        <v>0</v>
      </c>
      <c r="D484" s="265">
        <f t="shared" si="91"/>
        <v>0</v>
      </c>
      <c r="E484" s="265">
        <f t="shared" si="101"/>
        <v>0</v>
      </c>
      <c r="F484" s="265">
        <f t="shared" si="101"/>
        <v>0</v>
      </c>
      <c r="G484" s="265">
        <f>VLOOKUP(A484,[1]√表四、2024年公共财政支出变动表!$A$7:$R$214,18,FALSE)</f>
        <v>0</v>
      </c>
      <c r="H484" s="265">
        <f>SUM(H485:H488)</f>
        <v>0</v>
      </c>
      <c r="I484" s="265"/>
      <c r="J484" s="298">
        <f t="shared" si="99"/>
        <v>0</v>
      </c>
      <c r="K484" s="284" t="s">
        <v>1082</v>
      </c>
      <c r="L484" s="285"/>
      <c r="M484" s="263" t="s">
        <v>520</v>
      </c>
      <c r="N484" s="263" t="s">
        <v>514</v>
      </c>
      <c r="O484" s="263" t="s">
        <v>520</v>
      </c>
      <c r="P484" s="286" t="s">
        <v>2049</v>
      </c>
    </row>
    <row r="485" s="92" customFormat="1" ht="20.1" customHeight="1" spans="1:16">
      <c r="A485" s="157" t="s">
        <v>2050</v>
      </c>
      <c r="B485" s="269" t="s">
        <v>2051</v>
      </c>
      <c r="C485" s="267"/>
      <c r="D485" s="268">
        <f t="shared" si="91"/>
        <v>0</v>
      </c>
      <c r="E485" s="267"/>
      <c r="F485" s="267"/>
      <c r="G485" s="267"/>
      <c r="H485" s="267"/>
      <c r="I485" s="287"/>
      <c r="J485" s="288">
        <f t="shared" si="99"/>
        <v>0</v>
      </c>
      <c r="K485" s="276" t="s">
        <v>1087</v>
      </c>
      <c r="L485" s="33">
        <v>1</v>
      </c>
      <c r="M485" s="157" t="s">
        <v>2050</v>
      </c>
      <c r="N485" s="157"/>
      <c r="O485" s="157" t="s">
        <v>520</v>
      </c>
      <c r="P485" s="163" t="s">
        <v>2052</v>
      </c>
    </row>
    <row r="486" s="92" customFormat="1" ht="20.1" customHeight="1" spans="1:16">
      <c r="A486" s="157" t="s">
        <v>2053</v>
      </c>
      <c r="B486" s="269" t="s">
        <v>2054</v>
      </c>
      <c r="C486" s="267"/>
      <c r="D486" s="268">
        <f t="shared" si="91"/>
        <v>0</v>
      </c>
      <c r="E486" s="267"/>
      <c r="F486" s="267"/>
      <c r="G486" s="267"/>
      <c r="H486" s="267"/>
      <c r="I486" s="287"/>
      <c r="J486" s="288">
        <f t="shared" si="99"/>
        <v>0</v>
      </c>
      <c r="K486" s="276" t="s">
        <v>1087</v>
      </c>
      <c r="L486" s="33">
        <v>1</v>
      </c>
      <c r="M486" s="157" t="s">
        <v>2053</v>
      </c>
      <c r="N486" s="157"/>
      <c r="O486" s="157" t="s">
        <v>520</v>
      </c>
      <c r="P486" s="163" t="s">
        <v>2055</v>
      </c>
    </row>
    <row r="487" s="92" customFormat="1" ht="20.1" customHeight="1" spans="1:16">
      <c r="A487" s="157" t="s">
        <v>2056</v>
      </c>
      <c r="B487" s="36" t="s">
        <v>2057</v>
      </c>
      <c r="C487" s="267">
        <v>0</v>
      </c>
      <c r="D487" s="268">
        <f t="shared" si="91"/>
        <v>0</v>
      </c>
      <c r="E487" s="267"/>
      <c r="F487" s="267"/>
      <c r="G487" s="267"/>
      <c r="H487" s="267"/>
      <c r="I487" s="287"/>
      <c r="J487" s="288">
        <f t="shared" si="99"/>
        <v>0</v>
      </c>
      <c r="K487" s="276" t="s">
        <v>1087</v>
      </c>
      <c r="L487" s="33">
        <v>1</v>
      </c>
      <c r="M487" s="157" t="s">
        <v>2056</v>
      </c>
      <c r="N487" s="157"/>
      <c r="O487" s="157" t="s">
        <v>520</v>
      </c>
      <c r="P487" s="163" t="s">
        <v>2058</v>
      </c>
    </row>
    <row r="488" s="92" customFormat="1" ht="20.1" customHeight="1" spans="1:16">
      <c r="A488" s="157" t="s">
        <v>2059</v>
      </c>
      <c r="B488" s="266" t="s">
        <v>2060</v>
      </c>
      <c r="C488" s="267">
        <v>0</v>
      </c>
      <c r="D488" s="268">
        <f t="shared" si="91"/>
        <v>0</v>
      </c>
      <c r="E488" s="267"/>
      <c r="F488" s="267"/>
      <c r="G488" s="267"/>
      <c r="H488" s="267"/>
      <c r="I488" s="287"/>
      <c r="J488" s="288">
        <f t="shared" si="99"/>
        <v>0</v>
      </c>
      <c r="K488" s="276" t="s">
        <v>1087</v>
      </c>
      <c r="L488" s="33">
        <v>1</v>
      </c>
      <c r="M488" s="157" t="s">
        <v>2059</v>
      </c>
      <c r="N488" s="157"/>
      <c r="O488" s="157" t="s">
        <v>520</v>
      </c>
      <c r="P488" s="163" t="s">
        <v>2061</v>
      </c>
    </row>
    <row r="489" s="93" customFormat="1" ht="20.1" customHeight="1" spans="1:16">
      <c r="A489" s="263" t="s">
        <v>521</v>
      </c>
      <c r="B489" s="297" t="s">
        <v>287</v>
      </c>
      <c r="C489" s="265">
        <f t="shared" ref="C489:I489" si="102">SUM(C490:C495)</f>
        <v>198</v>
      </c>
      <c r="D489" s="265">
        <f t="shared" si="91"/>
        <v>137</v>
      </c>
      <c r="E489" s="265">
        <f t="shared" si="102"/>
        <v>0</v>
      </c>
      <c r="F489" s="265">
        <f t="shared" si="102"/>
        <v>0</v>
      </c>
      <c r="G489" s="265">
        <f t="shared" si="102"/>
        <v>57</v>
      </c>
      <c r="H489" s="265">
        <f t="shared" si="102"/>
        <v>0</v>
      </c>
      <c r="I489" s="265">
        <f t="shared" si="102"/>
        <v>80</v>
      </c>
      <c r="J489" s="298">
        <f t="shared" si="99"/>
        <v>69.19</v>
      </c>
      <c r="K489" s="284" t="s">
        <v>1082</v>
      </c>
      <c r="L489" s="285"/>
      <c r="M489" s="263" t="s">
        <v>521</v>
      </c>
      <c r="N489" s="263" t="s">
        <v>514</v>
      </c>
      <c r="O489" s="263" t="s">
        <v>521</v>
      </c>
      <c r="P489" s="286" t="s">
        <v>2062</v>
      </c>
    </row>
    <row r="490" s="92" customFormat="1" ht="20.1" customHeight="1" spans="1:16">
      <c r="A490" s="157" t="s">
        <v>2063</v>
      </c>
      <c r="B490" s="266" t="s">
        <v>1990</v>
      </c>
      <c r="C490" s="267">
        <v>79</v>
      </c>
      <c r="D490" s="268">
        <f t="shared" si="91"/>
        <v>70</v>
      </c>
      <c r="E490" s="267"/>
      <c r="F490" s="267"/>
      <c r="G490" s="267"/>
      <c r="H490" s="267"/>
      <c r="I490" s="287">
        <v>70</v>
      </c>
      <c r="J490" s="288">
        <f t="shared" si="99"/>
        <v>88.61</v>
      </c>
      <c r="K490" s="276" t="s">
        <v>1087</v>
      </c>
      <c r="L490" s="33">
        <v>1</v>
      </c>
      <c r="M490" s="157" t="s">
        <v>2063</v>
      </c>
      <c r="N490" s="157"/>
      <c r="O490" s="157" t="s">
        <v>521</v>
      </c>
      <c r="P490" s="164" t="s">
        <v>1991</v>
      </c>
    </row>
    <row r="491" s="92" customFormat="1" ht="20.1" customHeight="1" spans="1:16">
      <c r="A491" s="157" t="s">
        <v>2064</v>
      </c>
      <c r="B491" s="269" t="s">
        <v>2065</v>
      </c>
      <c r="C491" s="267">
        <v>6</v>
      </c>
      <c r="D491" s="268">
        <f t="shared" si="91"/>
        <v>10</v>
      </c>
      <c r="E491" s="267"/>
      <c r="F491" s="267"/>
      <c r="G491" s="267"/>
      <c r="H491" s="267"/>
      <c r="I491" s="287">
        <v>10</v>
      </c>
      <c r="J491" s="288">
        <f t="shared" si="99"/>
        <v>166.67</v>
      </c>
      <c r="K491" s="276" t="s">
        <v>1087</v>
      </c>
      <c r="L491" s="33">
        <v>1</v>
      </c>
      <c r="M491" s="157" t="s">
        <v>2064</v>
      </c>
      <c r="N491" s="157"/>
      <c r="O491" s="157" t="s">
        <v>521</v>
      </c>
      <c r="P491" s="163" t="s">
        <v>2066</v>
      </c>
    </row>
    <row r="492" s="92" customFormat="1" ht="20.1" customHeight="1" spans="1:16">
      <c r="A492" s="157" t="s">
        <v>2067</v>
      </c>
      <c r="B492" s="269" t="s">
        <v>2068</v>
      </c>
      <c r="C492" s="267"/>
      <c r="D492" s="268">
        <f t="shared" si="91"/>
        <v>0</v>
      </c>
      <c r="E492" s="267"/>
      <c r="F492" s="267"/>
      <c r="G492" s="267"/>
      <c r="H492" s="267"/>
      <c r="I492" s="287"/>
      <c r="J492" s="288">
        <f t="shared" si="99"/>
        <v>0</v>
      </c>
      <c r="K492" s="276" t="s">
        <v>1087</v>
      </c>
      <c r="L492" s="33">
        <v>1</v>
      </c>
      <c r="M492" s="157" t="s">
        <v>2067</v>
      </c>
      <c r="N492" s="157"/>
      <c r="O492" s="157" t="s">
        <v>521</v>
      </c>
      <c r="P492" s="163" t="s">
        <v>2069</v>
      </c>
    </row>
    <row r="493" s="92" customFormat="1" ht="20.1" customHeight="1" spans="1:16">
      <c r="A493" s="157" t="s">
        <v>2070</v>
      </c>
      <c r="B493" s="269" t="s">
        <v>2071</v>
      </c>
      <c r="C493" s="267"/>
      <c r="D493" s="268">
        <f t="shared" si="91"/>
        <v>0</v>
      </c>
      <c r="E493" s="267"/>
      <c r="F493" s="267"/>
      <c r="G493" s="267"/>
      <c r="H493" s="267"/>
      <c r="I493" s="287"/>
      <c r="J493" s="288">
        <f t="shared" si="99"/>
        <v>0</v>
      </c>
      <c r="K493" s="276" t="s">
        <v>1087</v>
      </c>
      <c r="L493" s="33">
        <v>1</v>
      </c>
      <c r="M493" s="157" t="s">
        <v>2070</v>
      </c>
      <c r="N493" s="157"/>
      <c r="O493" s="157" t="s">
        <v>521</v>
      </c>
      <c r="P493" s="163" t="s">
        <v>2072</v>
      </c>
    </row>
    <row r="494" s="92" customFormat="1" ht="20.1" customHeight="1" spans="1:16">
      <c r="A494" s="157" t="s">
        <v>2073</v>
      </c>
      <c r="B494" s="266" t="s">
        <v>2074</v>
      </c>
      <c r="C494" s="267">
        <v>53</v>
      </c>
      <c r="D494" s="268">
        <f t="shared" si="91"/>
        <v>17</v>
      </c>
      <c r="E494" s="267"/>
      <c r="F494" s="267"/>
      <c r="G494" s="267">
        <v>17</v>
      </c>
      <c r="H494" s="267"/>
      <c r="I494" s="287"/>
      <c r="J494" s="288">
        <f t="shared" si="99"/>
        <v>32.08</v>
      </c>
      <c r="K494" s="276" t="s">
        <v>1087</v>
      </c>
      <c r="L494" s="33">
        <v>1</v>
      </c>
      <c r="M494" s="157" t="s">
        <v>2073</v>
      </c>
      <c r="N494" s="157"/>
      <c r="O494" s="157" t="s">
        <v>521</v>
      </c>
      <c r="P494" s="163" t="s">
        <v>2075</v>
      </c>
    </row>
    <row r="495" s="92" customFormat="1" ht="20.1" customHeight="1" spans="1:16">
      <c r="A495" s="157" t="s">
        <v>2076</v>
      </c>
      <c r="B495" s="266" t="s">
        <v>2077</v>
      </c>
      <c r="C495" s="267">
        <v>60</v>
      </c>
      <c r="D495" s="268">
        <f t="shared" si="91"/>
        <v>40</v>
      </c>
      <c r="E495" s="267"/>
      <c r="F495" s="267"/>
      <c r="G495" s="267">
        <v>40</v>
      </c>
      <c r="H495" s="267"/>
      <c r="I495" s="287"/>
      <c r="J495" s="288">
        <f t="shared" si="99"/>
        <v>66.67</v>
      </c>
      <c r="K495" s="276" t="s">
        <v>1087</v>
      </c>
      <c r="L495" s="33">
        <v>1</v>
      </c>
      <c r="M495" s="157" t="s">
        <v>2076</v>
      </c>
      <c r="N495" s="157"/>
      <c r="O495" s="157" t="s">
        <v>521</v>
      </c>
      <c r="P495" s="163" t="s">
        <v>2078</v>
      </c>
    </row>
    <row r="496" s="93" customFormat="1" ht="20.1" customHeight="1" spans="1:16">
      <c r="A496" s="263" t="s">
        <v>522</v>
      </c>
      <c r="B496" s="297" t="s">
        <v>288</v>
      </c>
      <c r="C496" s="265">
        <v>0</v>
      </c>
      <c r="D496" s="265">
        <f t="shared" si="91"/>
        <v>0</v>
      </c>
      <c r="E496" s="265">
        <f t="shared" ref="E496:H496" si="103">SUM(E497:E499)</f>
        <v>0</v>
      </c>
      <c r="F496" s="265">
        <f t="shared" si="103"/>
        <v>0</v>
      </c>
      <c r="G496" s="265">
        <f>VLOOKUP(A496,[1]√表四、2024年公共财政支出变动表!$A$7:$R$214,18,FALSE)</f>
        <v>0</v>
      </c>
      <c r="H496" s="265">
        <f t="shared" si="103"/>
        <v>0</v>
      </c>
      <c r="I496" s="265"/>
      <c r="J496" s="298">
        <f t="shared" si="99"/>
        <v>0</v>
      </c>
      <c r="K496" s="284" t="s">
        <v>1082</v>
      </c>
      <c r="L496" s="285"/>
      <c r="M496" s="263" t="s">
        <v>522</v>
      </c>
      <c r="N496" s="263" t="s">
        <v>514</v>
      </c>
      <c r="O496" s="263" t="s">
        <v>522</v>
      </c>
      <c r="P496" s="286" t="s">
        <v>2079</v>
      </c>
    </row>
    <row r="497" s="92" customFormat="1" ht="20.1" customHeight="1" spans="1:16">
      <c r="A497" s="157" t="s">
        <v>2080</v>
      </c>
      <c r="B497" s="269" t="s">
        <v>2081</v>
      </c>
      <c r="C497" s="267">
        <v>0</v>
      </c>
      <c r="D497" s="268">
        <f t="shared" si="91"/>
        <v>0</v>
      </c>
      <c r="E497" s="267"/>
      <c r="F497" s="267"/>
      <c r="G497" s="267"/>
      <c r="H497" s="267"/>
      <c r="I497" s="287"/>
      <c r="J497" s="288">
        <f t="shared" si="99"/>
        <v>0</v>
      </c>
      <c r="K497" s="276" t="s">
        <v>1087</v>
      </c>
      <c r="L497" s="33">
        <v>1</v>
      </c>
      <c r="M497" s="157" t="s">
        <v>2080</v>
      </c>
      <c r="N497" s="157"/>
      <c r="O497" s="157" t="s">
        <v>522</v>
      </c>
      <c r="P497" s="163" t="s">
        <v>2082</v>
      </c>
    </row>
    <row r="498" s="92" customFormat="1" ht="20.1" customHeight="1" spans="1:16">
      <c r="A498" s="157" t="s">
        <v>2083</v>
      </c>
      <c r="B498" s="269" t="s">
        <v>2084</v>
      </c>
      <c r="C498" s="267">
        <v>0</v>
      </c>
      <c r="D498" s="268">
        <f t="shared" si="91"/>
        <v>0</v>
      </c>
      <c r="E498" s="267"/>
      <c r="F498" s="267"/>
      <c r="G498" s="267"/>
      <c r="H498" s="267"/>
      <c r="I498" s="287"/>
      <c r="J498" s="288">
        <f t="shared" si="99"/>
        <v>0</v>
      </c>
      <c r="K498" s="276" t="s">
        <v>1087</v>
      </c>
      <c r="L498" s="33">
        <v>1</v>
      </c>
      <c r="M498" s="157" t="s">
        <v>2083</v>
      </c>
      <c r="N498" s="157"/>
      <c r="O498" s="157" t="s">
        <v>522</v>
      </c>
      <c r="P498" s="163" t="s">
        <v>2085</v>
      </c>
    </row>
    <row r="499" s="92" customFormat="1" ht="20.1" customHeight="1" spans="1:16">
      <c r="A499" s="157" t="s">
        <v>2086</v>
      </c>
      <c r="B499" s="269" t="s">
        <v>2087</v>
      </c>
      <c r="C499" s="267">
        <v>0</v>
      </c>
      <c r="D499" s="268">
        <f t="shared" si="91"/>
        <v>0</v>
      </c>
      <c r="E499" s="267"/>
      <c r="F499" s="267"/>
      <c r="G499" s="267"/>
      <c r="H499" s="267"/>
      <c r="I499" s="287"/>
      <c r="J499" s="288">
        <f t="shared" si="99"/>
        <v>0</v>
      </c>
      <c r="K499" s="276" t="s">
        <v>1087</v>
      </c>
      <c r="L499" s="33">
        <v>1</v>
      </c>
      <c r="M499" s="157" t="s">
        <v>2086</v>
      </c>
      <c r="N499" s="157"/>
      <c r="O499" s="157" t="s">
        <v>522</v>
      </c>
      <c r="P499" s="163" t="s">
        <v>2088</v>
      </c>
    </row>
    <row r="500" s="93" customFormat="1" ht="20.1" customHeight="1" spans="1:16">
      <c r="A500" s="263" t="s">
        <v>523</v>
      </c>
      <c r="B500" s="297" t="s">
        <v>289</v>
      </c>
      <c r="C500" s="265">
        <f t="shared" ref="C500:I500" si="104">SUM(C501:C503)</f>
        <v>0</v>
      </c>
      <c r="D500" s="265">
        <f t="shared" si="91"/>
        <v>0</v>
      </c>
      <c r="E500" s="265">
        <f t="shared" si="104"/>
        <v>0</v>
      </c>
      <c r="F500" s="265">
        <f t="shared" si="104"/>
        <v>0</v>
      </c>
      <c r="G500" s="265">
        <f t="shared" si="104"/>
        <v>0</v>
      </c>
      <c r="H500" s="265">
        <f t="shared" si="104"/>
        <v>0</v>
      </c>
      <c r="I500" s="265">
        <f t="shared" si="104"/>
        <v>0</v>
      </c>
      <c r="J500" s="298">
        <f t="shared" si="99"/>
        <v>0</v>
      </c>
      <c r="K500" s="284" t="s">
        <v>1082</v>
      </c>
      <c r="L500" s="285"/>
      <c r="M500" s="263" t="s">
        <v>523</v>
      </c>
      <c r="N500" s="263" t="s">
        <v>514</v>
      </c>
      <c r="O500" s="263" t="s">
        <v>523</v>
      </c>
      <c r="P500" s="286" t="s">
        <v>2089</v>
      </c>
    </row>
    <row r="501" s="92" customFormat="1" ht="20.1" customHeight="1" spans="1:16">
      <c r="A501" s="157" t="s">
        <v>2090</v>
      </c>
      <c r="B501" s="269" t="s">
        <v>2091</v>
      </c>
      <c r="C501" s="267"/>
      <c r="D501" s="268">
        <f t="shared" si="91"/>
        <v>0</v>
      </c>
      <c r="E501" s="267"/>
      <c r="F501" s="267"/>
      <c r="G501" s="267"/>
      <c r="H501" s="267"/>
      <c r="I501" s="287"/>
      <c r="J501" s="288">
        <f t="shared" si="99"/>
        <v>0</v>
      </c>
      <c r="K501" s="276" t="s">
        <v>1087</v>
      </c>
      <c r="L501" s="33">
        <v>1</v>
      </c>
      <c r="M501" s="157" t="s">
        <v>2090</v>
      </c>
      <c r="N501" s="157"/>
      <c r="O501" s="157" t="s">
        <v>523</v>
      </c>
      <c r="P501" s="163" t="s">
        <v>2092</v>
      </c>
    </row>
    <row r="502" s="92" customFormat="1" ht="20.1" customHeight="1" spans="1:16">
      <c r="A502" s="157" t="s">
        <v>2093</v>
      </c>
      <c r="B502" s="269" t="s">
        <v>2094</v>
      </c>
      <c r="C502" s="267">
        <v>0</v>
      </c>
      <c r="D502" s="268">
        <f t="shared" si="91"/>
        <v>0</v>
      </c>
      <c r="E502" s="267"/>
      <c r="F502" s="267"/>
      <c r="G502" s="267"/>
      <c r="H502" s="267"/>
      <c r="I502" s="287"/>
      <c r="J502" s="288">
        <f t="shared" si="99"/>
        <v>0</v>
      </c>
      <c r="K502" s="276" t="s">
        <v>1087</v>
      </c>
      <c r="L502" s="33">
        <v>1</v>
      </c>
      <c r="M502" s="157" t="s">
        <v>2093</v>
      </c>
      <c r="N502" s="157"/>
      <c r="O502" s="157" t="s">
        <v>523</v>
      </c>
      <c r="P502" s="163" t="s">
        <v>2095</v>
      </c>
    </row>
    <row r="503" s="92" customFormat="1" ht="20.1" customHeight="1" spans="1:16">
      <c r="A503" s="157" t="s">
        <v>2096</v>
      </c>
      <c r="B503" s="269" t="s">
        <v>2097</v>
      </c>
      <c r="C503" s="267">
        <v>0</v>
      </c>
      <c r="D503" s="268">
        <f t="shared" si="91"/>
        <v>0</v>
      </c>
      <c r="E503" s="267"/>
      <c r="F503" s="267"/>
      <c r="G503" s="267"/>
      <c r="H503" s="267"/>
      <c r="I503" s="287"/>
      <c r="J503" s="288">
        <f t="shared" si="99"/>
        <v>0</v>
      </c>
      <c r="K503" s="276" t="s">
        <v>1087</v>
      </c>
      <c r="L503" s="33">
        <v>1</v>
      </c>
      <c r="M503" s="157" t="s">
        <v>2096</v>
      </c>
      <c r="N503" s="157"/>
      <c r="O503" s="157" t="s">
        <v>523</v>
      </c>
      <c r="P503" s="163" t="s">
        <v>2098</v>
      </c>
    </row>
    <row r="504" s="93" customFormat="1" ht="20.1" customHeight="1" spans="1:16">
      <c r="A504" s="263" t="s">
        <v>524</v>
      </c>
      <c r="B504" s="297" t="s">
        <v>290</v>
      </c>
      <c r="C504" s="265">
        <v>0</v>
      </c>
      <c r="D504" s="265">
        <f t="shared" ref="D504:I504" si="105">SUM(D505:D508)</f>
        <v>3</v>
      </c>
      <c r="E504" s="265">
        <f t="shared" si="105"/>
        <v>0</v>
      </c>
      <c r="F504" s="265">
        <f t="shared" si="105"/>
        <v>0</v>
      </c>
      <c r="G504" s="265">
        <f t="shared" si="105"/>
        <v>0</v>
      </c>
      <c r="H504" s="265">
        <f t="shared" si="105"/>
        <v>0</v>
      </c>
      <c r="I504" s="265">
        <f t="shared" si="105"/>
        <v>3</v>
      </c>
      <c r="J504" s="298">
        <f t="shared" si="99"/>
        <v>100</v>
      </c>
      <c r="K504" s="284" t="s">
        <v>1082</v>
      </c>
      <c r="L504" s="285"/>
      <c r="M504" s="263" t="s">
        <v>524</v>
      </c>
      <c r="N504" s="263" t="s">
        <v>514</v>
      </c>
      <c r="O504" s="263" t="s">
        <v>524</v>
      </c>
      <c r="P504" s="286" t="s">
        <v>2099</v>
      </c>
    </row>
    <row r="505" s="92" customFormat="1" ht="20.1" customHeight="1" spans="1:16">
      <c r="A505" s="157" t="s">
        <v>2100</v>
      </c>
      <c r="B505" s="266" t="s">
        <v>2101</v>
      </c>
      <c r="C505" s="267">
        <v>0</v>
      </c>
      <c r="D505" s="268">
        <f t="shared" ref="D505:D568" si="106">SUM(E505:I505)</f>
        <v>0</v>
      </c>
      <c r="E505" s="267"/>
      <c r="F505" s="267"/>
      <c r="G505" s="267"/>
      <c r="H505" s="267"/>
      <c r="I505" s="287"/>
      <c r="J505" s="288">
        <f t="shared" si="99"/>
        <v>0</v>
      </c>
      <c r="K505" s="276" t="s">
        <v>1087</v>
      </c>
      <c r="L505" s="33">
        <v>1</v>
      </c>
      <c r="M505" s="157" t="s">
        <v>2100</v>
      </c>
      <c r="N505" s="157"/>
      <c r="O505" s="157" t="s">
        <v>524</v>
      </c>
      <c r="P505" s="163" t="s">
        <v>2102</v>
      </c>
    </row>
    <row r="506" s="92" customFormat="1" ht="20.1" customHeight="1" spans="1:16">
      <c r="A506" s="157" t="s">
        <v>2103</v>
      </c>
      <c r="B506" s="269" t="s">
        <v>2104</v>
      </c>
      <c r="C506" s="267">
        <v>0</v>
      </c>
      <c r="D506" s="268">
        <f t="shared" si="106"/>
        <v>0</v>
      </c>
      <c r="E506" s="267"/>
      <c r="F506" s="267"/>
      <c r="G506" s="267"/>
      <c r="H506" s="267"/>
      <c r="I506" s="287"/>
      <c r="J506" s="288">
        <f t="shared" si="99"/>
        <v>0</v>
      </c>
      <c r="K506" s="276" t="s">
        <v>1087</v>
      </c>
      <c r="L506" s="33">
        <v>1</v>
      </c>
      <c r="M506" s="157" t="s">
        <v>2103</v>
      </c>
      <c r="N506" s="157"/>
      <c r="O506" s="157" t="s">
        <v>524</v>
      </c>
      <c r="P506" s="163" t="s">
        <v>2105</v>
      </c>
    </row>
    <row r="507" s="92" customFormat="1" ht="20.1" customHeight="1" spans="1:16">
      <c r="A507" s="157" t="s">
        <v>2106</v>
      </c>
      <c r="B507" s="269" t="s">
        <v>2107</v>
      </c>
      <c r="C507" s="267">
        <v>0</v>
      </c>
      <c r="D507" s="268">
        <f t="shared" si="106"/>
        <v>0</v>
      </c>
      <c r="E507" s="267"/>
      <c r="F507" s="267"/>
      <c r="G507" s="267"/>
      <c r="H507" s="267"/>
      <c r="I507" s="287"/>
      <c r="J507" s="288">
        <f t="shared" si="99"/>
        <v>0</v>
      </c>
      <c r="K507" s="276" t="s">
        <v>1087</v>
      </c>
      <c r="L507" s="33">
        <v>1</v>
      </c>
      <c r="M507" s="157" t="s">
        <v>2106</v>
      </c>
      <c r="N507" s="157"/>
      <c r="O507" s="157" t="s">
        <v>524</v>
      </c>
      <c r="P507" s="163" t="s">
        <v>2108</v>
      </c>
    </row>
    <row r="508" s="92" customFormat="1" ht="20.1" customHeight="1" spans="1:16">
      <c r="A508" s="157" t="s">
        <v>2109</v>
      </c>
      <c r="B508" s="269" t="s">
        <v>2110</v>
      </c>
      <c r="C508" s="267">
        <v>0</v>
      </c>
      <c r="D508" s="268">
        <f t="shared" si="106"/>
        <v>3</v>
      </c>
      <c r="E508" s="267"/>
      <c r="F508" s="267"/>
      <c r="G508" s="267"/>
      <c r="H508" s="267"/>
      <c r="I508" s="287">
        <v>3</v>
      </c>
      <c r="J508" s="288">
        <f t="shared" si="99"/>
        <v>100</v>
      </c>
      <c r="K508" s="276" t="s">
        <v>1087</v>
      </c>
      <c r="L508" s="33">
        <v>1</v>
      </c>
      <c r="M508" s="157" t="s">
        <v>2109</v>
      </c>
      <c r="N508" s="157"/>
      <c r="O508" s="157" t="s">
        <v>524</v>
      </c>
      <c r="P508" s="163" t="s">
        <v>2099</v>
      </c>
    </row>
    <row r="509" s="93" customFormat="1" ht="20.1" customHeight="1" spans="1:16">
      <c r="A509" s="154" t="s">
        <v>525</v>
      </c>
      <c r="B509" s="261" t="s">
        <v>291</v>
      </c>
      <c r="C509" s="262">
        <f t="shared" ref="C509:I509" si="107">C510+C526+C534+C545+C554+C562</f>
        <v>2181</v>
      </c>
      <c r="D509" s="262">
        <f t="shared" si="106"/>
        <v>4949</v>
      </c>
      <c r="E509" s="262">
        <f t="shared" si="107"/>
        <v>94</v>
      </c>
      <c r="F509" s="262">
        <f t="shared" si="107"/>
        <v>0</v>
      </c>
      <c r="G509" s="262">
        <f t="shared" si="107"/>
        <v>3487</v>
      </c>
      <c r="H509" s="262">
        <f t="shared" si="107"/>
        <v>0</v>
      </c>
      <c r="I509" s="262">
        <f t="shared" si="107"/>
        <v>1368</v>
      </c>
      <c r="J509" s="279">
        <f t="shared" si="99"/>
        <v>226.91</v>
      </c>
      <c r="K509" s="280" t="s">
        <v>1081</v>
      </c>
      <c r="L509" s="281"/>
      <c r="M509" s="154" t="s">
        <v>525</v>
      </c>
      <c r="N509" s="154" t="s">
        <v>525</v>
      </c>
      <c r="O509" s="154" t="s">
        <v>525</v>
      </c>
      <c r="P509" s="282" t="s">
        <v>2111</v>
      </c>
    </row>
    <row r="510" s="93" customFormat="1" ht="20.1" customHeight="1" spans="1:16">
      <c r="A510" s="263" t="s">
        <v>526</v>
      </c>
      <c r="B510" s="297" t="s">
        <v>292</v>
      </c>
      <c r="C510" s="265">
        <f t="shared" ref="C510:I510" si="108">SUM(C511:C525)</f>
        <v>1670</v>
      </c>
      <c r="D510" s="265">
        <f t="shared" si="106"/>
        <v>4165</v>
      </c>
      <c r="E510" s="265">
        <f t="shared" si="108"/>
        <v>94</v>
      </c>
      <c r="F510" s="265">
        <f t="shared" si="108"/>
        <v>0</v>
      </c>
      <c r="G510" s="265">
        <f t="shared" si="108"/>
        <v>3206</v>
      </c>
      <c r="H510" s="265">
        <f t="shared" si="108"/>
        <v>0</v>
      </c>
      <c r="I510" s="265">
        <f t="shared" si="108"/>
        <v>865</v>
      </c>
      <c r="J510" s="298">
        <f t="shared" si="99"/>
        <v>249.4</v>
      </c>
      <c r="K510" s="284" t="s">
        <v>1082</v>
      </c>
      <c r="L510" s="285"/>
      <c r="M510" s="263" t="s">
        <v>526</v>
      </c>
      <c r="N510" s="263" t="s">
        <v>525</v>
      </c>
      <c r="O510" s="263" t="s">
        <v>526</v>
      </c>
      <c r="P510" s="286" t="s">
        <v>2112</v>
      </c>
    </row>
    <row r="511" s="92" customFormat="1" ht="20.1" customHeight="1" spans="1:16">
      <c r="A511" s="157" t="s">
        <v>2113</v>
      </c>
      <c r="B511" s="36" t="s">
        <v>1086</v>
      </c>
      <c r="C511" s="267">
        <v>592</v>
      </c>
      <c r="D511" s="268">
        <f t="shared" si="106"/>
        <v>586</v>
      </c>
      <c r="E511" s="267"/>
      <c r="F511" s="267"/>
      <c r="G511" s="267"/>
      <c r="H511" s="267"/>
      <c r="I511" s="287">
        <v>586</v>
      </c>
      <c r="J511" s="288">
        <f t="shared" si="99"/>
        <v>98.99</v>
      </c>
      <c r="K511" s="276" t="s">
        <v>1087</v>
      </c>
      <c r="L511" s="33">
        <v>1</v>
      </c>
      <c r="M511" s="157" t="s">
        <v>2113</v>
      </c>
      <c r="N511" s="157"/>
      <c r="O511" s="157" t="s">
        <v>526</v>
      </c>
      <c r="P511" s="164" t="s">
        <v>1088</v>
      </c>
    </row>
    <row r="512" s="92" customFormat="1" ht="20.1" customHeight="1" spans="1:16">
      <c r="A512" s="157" t="s">
        <v>2114</v>
      </c>
      <c r="B512" s="36" t="s">
        <v>1090</v>
      </c>
      <c r="C512" s="267"/>
      <c r="D512" s="268">
        <f t="shared" si="106"/>
        <v>0</v>
      </c>
      <c r="E512" s="267"/>
      <c r="F512" s="267"/>
      <c r="G512" s="267"/>
      <c r="H512" s="267"/>
      <c r="I512" s="287"/>
      <c r="J512" s="288">
        <f t="shared" si="99"/>
        <v>0</v>
      </c>
      <c r="K512" s="276" t="s">
        <v>1087</v>
      </c>
      <c r="L512" s="33">
        <v>1</v>
      </c>
      <c r="M512" s="157" t="s">
        <v>2114</v>
      </c>
      <c r="N512" s="157"/>
      <c r="O512" s="157" t="s">
        <v>526</v>
      </c>
      <c r="P512" s="164" t="s">
        <v>1091</v>
      </c>
    </row>
    <row r="513" s="92" customFormat="1" ht="20.1" customHeight="1" spans="1:16">
      <c r="A513" s="157" t="s">
        <v>2115</v>
      </c>
      <c r="B513" s="36" t="s">
        <v>1093</v>
      </c>
      <c r="C513" s="267"/>
      <c r="D513" s="268">
        <f t="shared" si="106"/>
        <v>0</v>
      </c>
      <c r="E513" s="267"/>
      <c r="F513" s="267"/>
      <c r="G513" s="267"/>
      <c r="H513" s="267"/>
      <c r="I513" s="287"/>
      <c r="J513" s="288">
        <f t="shared" si="99"/>
        <v>0</v>
      </c>
      <c r="K513" s="276" t="s">
        <v>1087</v>
      </c>
      <c r="L513" s="33">
        <v>1</v>
      </c>
      <c r="M513" s="157" t="s">
        <v>2115</v>
      </c>
      <c r="N513" s="157"/>
      <c r="O513" s="157" t="s">
        <v>526</v>
      </c>
      <c r="P513" s="164" t="s">
        <v>1094</v>
      </c>
    </row>
    <row r="514" s="92" customFormat="1" ht="20.1" customHeight="1" spans="1:16">
      <c r="A514" s="157" t="s">
        <v>2116</v>
      </c>
      <c r="B514" s="36" t="s">
        <v>2117</v>
      </c>
      <c r="C514" s="267">
        <v>18</v>
      </c>
      <c r="D514" s="268">
        <f t="shared" si="106"/>
        <v>22</v>
      </c>
      <c r="E514" s="267"/>
      <c r="F514" s="267"/>
      <c r="G514" s="267"/>
      <c r="H514" s="267"/>
      <c r="I514" s="287">
        <v>22</v>
      </c>
      <c r="J514" s="288">
        <f t="shared" si="99"/>
        <v>122.22</v>
      </c>
      <c r="K514" s="276" t="s">
        <v>1087</v>
      </c>
      <c r="L514" s="33">
        <v>1</v>
      </c>
      <c r="M514" s="157" t="s">
        <v>2116</v>
      </c>
      <c r="N514" s="157"/>
      <c r="O514" s="157" t="s">
        <v>526</v>
      </c>
      <c r="P514" s="163" t="s">
        <v>2118</v>
      </c>
    </row>
    <row r="515" s="92" customFormat="1" ht="20.1" customHeight="1" spans="1:16">
      <c r="A515" s="157" t="s">
        <v>2119</v>
      </c>
      <c r="B515" s="36" t="s">
        <v>2120</v>
      </c>
      <c r="C515" s="267"/>
      <c r="D515" s="268">
        <f t="shared" si="106"/>
        <v>0</v>
      </c>
      <c r="E515" s="267"/>
      <c r="F515" s="267"/>
      <c r="G515" s="267"/>
      <c r="H515" s="267"/>
      <c r="I515" s="287"/>
      <c r="J515" s="288">
        <f t="shared" si="99"/>
        <v>0</v>
      </c>
      <c r="K515" s="276" t="s">
        <v>1087</v>
      </c>
      <c r="L515" s="33">
        <v>1</v>
      </c>
      <c r="M515" s="157" t="s">
        <v>2119</v>
      </c>
      <c r="N515" s="157"/>
      <c r="O515" s="157" t="s">
        <v>526</v>
      </c>
      <c r="P515" s="163" t="s">
        <v>2121</v>
      </c>
    </row>
    <row r="516" s="92" customFormat="1" ht="20.1" customHeight="1" spans="1:16">
      <c r="A516" s="157" t="s">
        <v>2122</v>
      </c>
      <c r="B516" s="36" t="s">
        <v>2123</v>
      </c>
      <c r="C516" s="267"/>
      <c r="D516" s="268">
        <f t="shared" si="106"/>
        <v>0</v>
      </c>
      <c r="E516" s="267"/>
      <c r="F516" s="267"/>
      <c r="G516" s="267"/>
      <c r="H516" s="267"/>
      <c r="I516" s="287"/>
      <c r="J516" s="288">
        <f t="shared" si="99"/>
        <v>0</v>
      </c>
      <c r="K516" s="276" t="s">
        <v>1087</v>
      </c>
      <c r="L516" s="33">
        <v>1</v>
      </c>
      <c r="M516" s="157" t="s">
        <v>2122</v>
      </c>
      <c r="N516" s="157"/>
      <c r="O516" s="157" t="s">
        <v>526</v>
      </c>
      <c r="P516" s="163" t="s">
        <v>2124</v>
      </c>
    </row>
    <row r="517" s="92" customFormat="1" ht="20.1" customHeight="1" spans="1:16">
      <c r="A517" s="157" t="s">
        <v>2125</v>
      </c>
      <c r="B517" s="36" t="s">
        <v>2126</v>
      </c>
      <c r="C517" s="267"/>
      <c r="D517" s="268">
        <f t="shared" si="106"/>
        <v>0</v>
      </c>
      <c r="E517" s="267"/>
      <c r="F517" s="267"/>
      <c r="G517" s="267"/>
      <c r="H517" s="267"/>
      <c r="I517" s="287"/>
      <c r="J517" s="288">
        <f t="shared" si="99"/>
        <v>0</v>
      </c>
      <c r="K517" s="276" t="s">
        <v>1087</v>
      </c>
      <c r="L517" s="33">
        <v>1</v>
      </c>
      <c r="M517" s="157" t="s">
        <v>2125</v>
      </c>
      <c r="N517" s="157"/>
      <c r="O517" s="157" t="s">
        <v>526</v>
      </c>
      <c r="P517" s="163" t="s">
        <v>2127</v>
      </c>
    </row>
    <row r="518" s="92" customFormat="1" ht="20.1" customHeight="1" spans="1:16">
      <c r="A518" s="157" t="s">
        <v>2128</v>
      </c>
      <c r="B518" s="36" t="s">
        <v>2129</v>
      </c>
      <c r="C518" s="267"/>
      <c r="D518" s="268">
        <f t="shared" si="106"/>
        <v>0</v>
      </c>
      <c r="E518" s="267"/>
      <c r="F518" s="267"/>
      <c r="G518" s="267"/>
      <c r="H518" s="267"/>
      <c r="I518" s="287"/>
      <c r="J518" s="288">
        <f t="shared" si="99"/>
        <v>0</v>
      </c>
      <c r="K518" s="276" t="s">
        <v>1087</v>
      </c>
      <c r="L518" s="33">
        <v>1</v>
      </c>
      <c r="M518" s="157" t="s">
        <v>2128</v>
      </c>
      <c r="N518" s="157"/>
      <c r="O518" s="157" t="s">
        <v>526</v>
      </c>
      <c r="P518" s="163" t="s">
        <v>2130</v>
      </c>
    </row>
    <row r="519" s="92" customFormat="1" ht="20.1" customHeight="1" spans="1:16">
      <c r="A519" s="157" t="s">
        <v>2131</v>
      </c>
      <c r="B519" s="36" t="s">
        <v>2132</v>
      </c>
      <c r="C519" s="267">
        <v>228</v>
      </c>
      <c r="D519" s="268">
        <f t="shared" si="106"/>
        <v>81</v>
      </c>
      <c r="E519" s="267"/>
      <c r="F519" s="267"/>
      <c r="G519" s="267"/>
      <c r="H519" s="267"/>
      <c r="I519" s="287">
        <v>81</v>
      </c>
      <c r="J519" s="288">
        <f t="shared" si="99"/>
        <v>35.53</v>
      </c>
      <c r="K519" s="276" t="s">
        <v>1087</v>
      </c>
      <c r="L519" s="33">
        <v>1</v>
      </c>
      <c r="M519" s="157" t="s">
        <v>2131</v>
      </c>
      <c r="N519" s="157"/>
      <c r="O519" s="157" t="s">
        <v>526</v>
      </c>
      <c r="P519" s="163" t="s">
        <v>2133</v>
      </c>
    </row>
    <row r="520" s="92" customFormat="1" ht="20.1" customHeight="1" spans="1:16">
      <c r="A520" s="157" t="s">
        <v>2134</v>
      </c>
      <c r="B520" s="36" t="s">
        <v>2135</v>
      </c>
      <c r="C520" s="267"/>
      <c r="D520" s="268">
        <f t="shared" si="106"/>
        <v>0</v>
      </c>
      <c r="E520" s="267"/>
      <c r="F520" s="267"/>
      <c r="G520" s="267"/>
      <c r="H520" s="267"/>
      <c r="I520" s="287"/>
      <c r="J520" s="288">
        <f t="shared" si="99"/>
        <v>0</v>
      </c>
      <c r="K520" s="276" t="s">
        <v>1087</v>
      </c>
      <c r="L520" s="33">
        <v>1</v>
      </c>
      <c r="M520" s="157" t="s">
        <v>2134</v>
      </c>
      <c r="N520" s="157"/>
      <c r="O520" s="157" t="s">
        <v>526</v>
      </c>
      <c r="P520" s="164" t="s">
        <v>2136</v>
      </c>
    </row>
    <row r="521" s="92" customFormat="1" ht="20.1" customHeight="1" spans="1:16">
      <c r="A521" s="157" t="s">
        <v>2137</v>
      </c>
      <c r="B521" s="36" t="s">
        <v>2138</v>
      </c>
      <c r="C521" s="267">
        <v>34</v>
      </c>
      <c r="D521" s="268">
        <f t="shared" si="106"/>
        <v>91</v>
      </c>
      <c r="E521" s="267"/>
      <c r="F521" s="267"/>
      <c r="G521" s="267">
        <v>91</v>
      </c>
      <c r="H521" s="267"/>
      <c r="I521" s="287"/>
      <c r="J521" s="288">
        <f t="shared" si="99"/>
        <v>267.65</v>
      </c>
      <c r="K521" s="276" t="s">
        <v>1087</v>
      </c>
      <c r="L521" s="33">
        <v>1</v>
      </c>
      <c r="M521" s="157" t="s">
        <v>2137</v>
      </c>
      <c r="N521" s="157"/>
      <c r="O521" s="157" t="s">
        <v>526</v>
      </c>
      <c r="P521" s="164" t="s">
        <v>2139</v>
      </c>
    </row>
    <row r="522" s="92" customFormat="1" ht="20.1" customHeight="1" spans="1:16">
      <c r="A522" s="157" t="s">
        <v>2140</v>
      </c>
      <c r="B522" s="36" t="s">
        <v>2141</v>
      </c>
      <c r="C522" s="267">
        <v>6</v>
      </c>
      <c r="D522" s="268">
        <f t="shared" si="106"/>
        <v>0</v>
      </c>
      <c r="E522" s="267"/>
      <c r="F522" s="267"/>
      <c r="G522" s="267"/>
      <c r="H522" s="267"/>
      <c r="I522" s="287"/>
      <c r="J522" s="288">
        <f t="shared" si="99"/>
        <v>-100</v>
      </c>
      <c r="K522" s="276" t="s">
        <v>1087</v>
      </c>
      <c r="L522" s="33">
        <v>1</v>
      </c>
      <c r="M522" s="157" t="s">
        <v>2140</v>
      </c>
      <c r="N522" s="157"/>
      <c r="O522" s="157" t="s">
        <v>526</v>
      </c>
      <c r="P522" s="164" t="s">
        <v>2142</v>
      </c>
    </row>
    <row r="523" s="92" customFormat="1" ht="20.1" customHeight="1" spans="1:16">
      <c r="A523" s="157" t="s">
        <v>2143</v>
      </c>
      <c r="B523" s="36" t="s">
        <v>2144</v>
      </c>
      <c r="C523" s="267"/>
      <c r="D523" s="268">
        <f t="shared" si="106"/>
        <v>0</v>
      </c>
      <c r="E523" s="267"/>
      <c r="F523" s="267"/>
      <c r="G523" s="267"/>
      <c r="H523" s="267"/>
      <c r="I523" s="287"/>
      <c r="J523" s="288">
        <f t="shared" si="99"/>
        <v>0</v>
      </c>
      <c r="K523" s="276" t="s">
        <v>1087</v>
      </c>
      <c r="L523" s="33">
        <v>1</v>
      </c>
      <c r="M523" s="157" t="s">
        <v>2143</v>
      </c>
      <c r="N523" s="157"/>
      <c r="O523" s="157" t="s">
        <v>526</v>
      </c>
      <c r="P523" s="164" t="s">
        <v>2145</v>
      </c>
    </row>
    <row r="524" s="92" customFormat="1" ht="20.1" customHeight="1" spans="1:16">
      <c r="A524" s="157" t="s">
        <v>2146</v>
      </c>
      <c r="B524" s="36" t="s">
        <v>2147</v>
      </c>
      <c r="C524" s="267">
        <v>117</v>
      </c>
      <c r="D524" s="268">
        <f t="shared" si="106"/>
        <v>112</v>
      </c>
      <c r="E524" s="267"/>
      <c r="F524" s="267"/>
      <c r="G524" s="267"/>
      <c r="H524" s="267"/>
      <c r="I524" s="287">
        <v>112</v>
      </c>
      <c r="J524" s="288">
        <f t="shared" si="99"/>
        <v>95.73</v>
      </c>
      <c r="K524" s="276" t="s">
        <v>1087</v>
      </c>
      <c r="L524" s="33">
        <v>1</v>
      </c>
      <c r="M524" s="157" t="s">
        <v>2146</v>
      </c>
      <c r="N524" s="157"/>
      <c r="O524" s="157" t="s">
        <v>526</v>
      </c>
      <c r="P524" s="164" t="s">
        <v>2148</v>
      </c>
    </row>
    <row r="525" s="92" customFormat="1" ht="20.1" customHeight="1" spans="1:16">
      <c r="A525" s="157" t="s">
        <v>2149</v>
      </c>
      <c r="B525" s="36" t="s">
        <v>2150</v>
      </c>
      <c r="C525" s="267">
        <v>675</v>
      </c>
      <c r="D525" s="268">
        <f t="shared" si="106"/>
        <v>3273</v>
      </c>
      <c r="E525" s="267">
        <v>94</v>
      </c>
      <c r="F525" s="267"/>
      <c r="G525" s="267">
        <v>3115</v>
      </c>
      <c r="H525" s="267"/>
      <c r="I525" s="287">
        <v>64</v>
      </c>
      <c r="J525" s="288">
        <f t="shared" si="99"/>
        <v>484.89</v>
      </c>
      <c r="K525" s="276" t="s">
        <v>1087</v>
      </c>
      <c r="L525" s="33">
        <v>1</v>
      </c>
      <c r="M525" s="157" t="s">
        <v>2149</v>
      </c>
      <c r="N525" s="157"/>
      <c r="O525" s="157" t="s">
        <v>526</v>
      </c>
      <c r="P525" s="164" t="s">
        <v>2151</v>
      </c>
    </row>
    <row r="526" s="93" customFormat="1" ht="20.1" customHeight="1" spans="1:16">
      <c r="A526" s="263" t="s">
        <v>527</v>
      </c>
      <c r="B526" s="297" t="s">
        <v>293</v>
      </c>
      <c r="C526" s="265">
        <f t="shared" ref="C526:I526" si="109">SUM(C527:C533)</f>
        <v>71</v>
      </c>
      <c r="D526" s="265">
        <f t="shared" si="106"/>
        <v>183</v>
      </c>
      <c r="E526" s="265">
        <f t="shared" si="109"/>
        <v>0</v>
      </c>
      <c r="F526" s="265">
        <f t="shared" si="109"/>
        <v>0</v>
      </c>
      <c r="G526" s="265">
        <f t="shared" si="109"/>
        <v>155</v>
      </c>
      <c r="H526" s="265">
        <f t="shared" si="109"/>
        <v>0</v>
      </c>
      <c r="I526" s="265">
        <f t="shared" si="109"/>
        <v>28</v>
      </c>
      <c r="J526" s="298">
        <f t="shared" si="99"/>
        <v>257.75</v>
      </c>
      <c r="K526" s="284" t="s">
        <v>1082</v>
      </c>
      <c r="L526" s="285"/>
      <c r="M526" s="263" t="s">
        <v>527</v>
      </c>
      <c r="N526" s="263" t="s">
        <v>525</v>
      </c>
      <c r="O526" s="263" t="s">
        <v>527</v>
      </c>
      <c r="P526" s="286" t="s">
        <v>2152</v>
      </c>
    </row>
    <row r="527" s="92" customFormat="1" ht="20.1" customHeight="1" spans="1:16">
      <c r="A527" s="157" t="s">
        <v>2153</v>
      </c>
      <c r="B527" s="36" t="s">
        <v>1086</v>
      </c>
      <c r="C527" s="267"/>
      <c r="D527" s="268">
        <f t="shared" si="106"/>
        <v>0</v>
      </c>
      <c r="E527" s="267"/>
      <c r="F527" s="267"/>
      <c r="G527" s="267"/>
      <c r="H527" s="267"/>
      <c r="I527" s="287"/>
      <c r="J527" s="288">
        <f t="shared" si="99"/>
        <v>0</v>
      </c>
      <c r="K527" s="276" t="s">
        <v>1087</v>
      </c>
      <c r="L527" s="33">
        <v>1</v>
      </c>
      <c r="M527" s="157" t="s">
        <v>2153</v>
      </c>
      <c r="N527" s="157"/>
      <c r="O527" s="157" t="s">
        <v>527</v>
      </c>
      <c r="P527" s="164" t="s">
        <v>1088</v>
      </c>
    </row>
    <row r="528" s="92" customFormat="1" ht="20.1" customHeight="1" spans="1:16">
      <c r="A528" s="157" t="s">
        <v>2154</v>
      </c>
      <c r="B528" s="36" t="s">
        <v>1090</v>
      </c>
      <c r="C528" s="267"/>
      <c r="D528" s="268">
        <f t="shared" si="106"/>
        <v>0</v>
      </c>
      <c r="E528" s="267"/>
      <c r="F528" s="267"/>
      <c r="G528" s="267"/>
      <c r="H528" s="267"/>
      <c r="I528" s="287"/>
      <c r="J528" s="288">
        <f t="shared" si="99"/>
        <v>0</v>
      </c>
      <c r="K528" s="276" t="s">
        <v>1087</v>
      </c>
      <c r="L528" s="33">
        <v>1</v>
      </c>
      <c r="M528" s="157" t="s">
        <v>2154</v>
      </c>
      <c r="N528" s="157"/>
      <c r="O528" s="157" t="s">
        <v>527</v>
      </c>
      <c r="P528" s="164" t="s">
        <v>1091</v>
      </c>
    </row>
    <row r="529" s="92" customFormat="1" ht="20.1" customHeight="1" spans="1:16">
      <c r="A529" s="157" t="s">
        <v>2155</v>
      </c>
      <c r="B529" s="36" t="s">
        <v>1093</v>
      </c>
      <c r="C529" s="267"/>
      <c r="D529" s="268">
        <f t="shared" si="106"/>
        <v>0</v>
      </c>
      <c r="E529" s="267"/>
      <c r="F529" s="267"/>
      <c r="G529" s="267"/>
      <c r="H529" s="267"/>
      <c r="I529" s="287"/>
      <c r="J529" s="288">
        <f t="shared" si="99"/>
        <v>0</v>
      </c>
      <c r="K529" s="276" t="s">
        <v>1087</v>
      </c>
      <c r="L529" s="33">
        <v>1</v>
      </c>
      <c r="M529" s="157" t="s">
        <v>2155</v>
      </c>
      <c r="N529" s="157"/>
      <c r="O529" s="157" t="s">
        <v>527</v>
      </c>
      <c r="P529" s="164" t="s">
        <v>1094</v>
      </c>
    </row>
    <row r="530" s="92" customFormat="1" ht="20.1" customHeight="1" spans="1:16">
      <c r="A530" s="157" t="s">
        <v>2156</v>
      </c>
      <c r="B530" s="36" t="s">
        <v>2157</v>
      </c>
      <c r="C530" s="267">
        <v>49</v>
      </c>
      <c r="D530" s="268">
        <f t="shared" si="106"/>
        <v>155</v>
      </c>
      <c r="E530" s="267"/>
      <c r="F530" s="267"/>
      <c r="G530" s="267">
        <v>155</v>
      </c>
      <c r="H530" s="267"/>
      <c r="I530" s="287"/>
      <c r="J530" s="288">
        <f t="shared" si="99"/>
        <v>316.33</v>
      </c>
      <c r="K530" s="276" t="s">
        <v>1087</v>
      </c>
      <c r="L530" s="33">
        <v>1</v>
      </c>
      <c r="M530" s="157" t="s">
        <v>2156</v>
      </c>
      <c r="N530" s="157"/>
      <c r="O530" s="157" t="s">
        <v>527</v>
      </c>
      <c r="P530" s="163" t="s">
        <v>2158</v>
      </c>
    </row>
    <row r="531" s="92" customFormat="1" ht="20.1" customHeight="1" spans="1:16">
      <c r="A531" s="157" t="s">
        <v>2159</v>
      </c>
      <c r="B531" s="36" t="s">
        <v>2160</v>
      </c>
      <c r="C531" s="267">
        <v>22</v>
      </c>
      <c r="D531" s="268">
        <f t="shared" si="106"/>
        <v>28</v>
      </c>
      <c r="E531" s="267"/>
      <c r="F531" s="267"/>
      <c r="G531" s="267"/>
      <c r="H531" s="267"/>
      <c r="I531" s="287">
        <v>28</v>
      </c>
      <c r="J531" s="288">
        <f t="shared" si="99"/>
        <v>127.27</v>
      </c>
      <c r="K531" s="276" t="s">
        <v>1087</v>
      </c>
      <c r="L531" s="33">
        <v>1</v>
      </c>
      <c r="M531" s="157" t="s">
        <v>2159</v>
      </c>
      <c r="N531" s="157"/>
      <c r="O531" s="157" t="s">
        <v>527</v>
      </c>
      <c r="P531" s="163" t="s">
        <v>2161</v>
      </c>
    </row>
    <row r="532" s="92" customFormat="1" ht="20.1" customHeight="1" spans="1:16">
      <c r="A532" s="157" t="s">
        <v>2162</v>
      </c>
      <c r="B532" s="36" t="s">
        <v>2163</v>
      </c>
      <c r="C532" s="267"/>
      <c r="D532" s="268">
        <f t="shared" si="106"/>
        <v>0</v>
      </c>
      <c r="E532" s="267"/>
      <c r="F532" s="267"/>
      <c r="G532" s="267"/>
      <c r="H532" s="267"/>
      <c r="I532" s="287"/>
      <c r="J532" s="288">
        <f t="shared" si="99"/>
        <v>0</v>
      </c>
      <c r="K532" s="276" t="s">
        <v>1087</v>
      </c>
      <c r="L532" s="33">
        <v>1</v>
      </c>
      <c r="M532" s="157" t="s">
        <v>2162</v>
      </c>
      <c r="N532" s="157"/>
      <c r="O532" s="157" t="s">
        <v>527</v>
      </c>
      <c r="P532" s="163" t="s">
        <v>2164</v>
      </c>
    </row>
    <row r="533" s="92" customFormat="1" ht="20.1" customHeight="1" spans="1:16">
      <c r="A533" s="157" t="s">
        <v>2165</v>
      </c>
      <c r="B533" s="36" t="s">
        <v>2166</v>
      </c>
      <c r="C533" s="267"/>
      <c r="D533" s="268">
        <f t="shared" si="106"/>
        <v>0</v>
      </c>
      <c r="E533" s="267"/>
      <c r="F533" s="267"/>
      <c r="G533" s="267"/>
      <c r="H533" s="267"/>
      <c r="I533" s="287"/>
      <c r="J533" s="288">
        <f t="shared" si="99"/>
        <v>0</v>
      </c>
      <c r="K533" s="276" t="s">
        <v>1087</v>
      </c>
      <c r="L533" s="33">
        <v>1</v>
      </c>
      <c r="M533" s="157" t="s">
        <v>2165</v>
      </c>
      <c r="N533" s="157"/>
      <c r="O533" s="157" t="s">
        <v>527</v>
      </c>
      <c r="P533" s="163" t="s">
        <v>2167</v>
      </c>
    </row>
    <row r="534" s="93" customFormat="1" ht="20.1" customHeight="1" spans="1:16">
      <c r="A534" s="263" t="s">
        <v>528</v>
      </c>
      <c r="B534" s="297" t="s">
        <v>294</v>
      </c>
      <c r="C534" s="265">
        <f t="shared" ref="C534:I534" si="110">SUM(C535:C544)</f>
        <v>23</v>
      </c>
      <c r="D534" s="265">
        <f t="shared" si="106"/>
        <v>24</v>
      </c>
      <c r="E534" s="265">
        <f t="shared" si="110"/>
        <v>0</v>
      </c>
      <c r="F534" s="265">
        <f t="shared" si="110"/>
        <v>0</v>
      </c>
      <c r="G534" s="265">
        <f t="shared" si="110"/>
        <v>0</v>
      </c>
      <c r="H534" s="265">
        <f t="shared" si="110"/>
        <v>0</v>
      </c>
      <c r="I534" s="265">
        <f t="shared" si="110"/>
        <v>24</v>
      </c>
      <c r="J534" s="298">
        <f t="shared" si="99"/>
        <v>104.35</v>
      </c>
      <c r="K534" s="284" t="s">
        <v>1082</v>
      </c>
      <c r="L534" s="285"/>
      <c r="M534" s="263" t="s">
        <v>528</v>
      </c>
      <c r="N534" s="263" t="s">
        <v>525</v>
      </c>
      <c r="O534" s="263" t="s">
        <v>528</v>
      </c>
      <c r="P534" s="286" t="s">
        <v>2168</v>
      </c>
    </row>
    <row r="535" s="92" customFormat="1" ht="20.1" customHeight="1" spans="1:16">
      <c r="A535" s="157" t="s">
        <v>2169</v>
      </c>
      <c r="B535" s="36" t="s">
        <v>1086</v>
      </c>
      <c r="C535" s="267"/>
      <c r="D535" s="268">
        <f t="shared" si="106"/>
        <v>0</v>
      </c>
      <c r="E535" s="267"/>
      <c r="F535" s="267"/>
      <c r="G535" s="267"/>
      <c r="H535" s="267"/>
      <c r="I535" s="287"/>
      <c r="J535" s="288">
        <f t="shared" si="99"/>
        <v>0</v>
      </c>
      <c r="K535" s="276" t="s">
        <v>1087</v>
      </c>
      <c r="L535" s="33">
        <v>1</v>
      </c>
      <c r="M535" s="157" t="s">
        <v>2169</v>
      </c>
      <c r="N535" s="157"/>
      <c r="O535" s="157" t="s">
        <v>528</v>
      </c>
      <c r="P535" s="164" t="s">
        <v>1088</v>
      </c>
    </row>
    <row r="536" s="92" customFormat="1" ht="20.1" customHeight="1" spans="1:16">
      <c r="A536" s="157" t="s">
        <v>2170</v>
      </c>
      <c r="B536" s="36" t="s">
        <v>1090</v>
      </c>
      <c r="C536" s="267"/>
      <c r="D536" s="268">
        <f t="shared" si="106"/>
        <v>0</v>
      </c>
      <c r="E536" s="267"/>
      <c r="F536" s="267"/>
      <c r="G536" s="267"/>
      <c r="H536" s="267"/>
      <c r="I536" s="287"/>
      <c r="J536" s="288">
        <f t="shared" si="99"/>
        <v>0</v>
      </c>
      <c r="K536" s="276" t="s">
        <v>1087</v>
      </c>
      <c r="L536" s="33">
        <v>1</v>
      </c>
      <c r="M536" s="157" t="s">
        <v>2170</v>
      </c>
      <c r="N536" s="157"/>
      <c r="O536" s="157" t="s">
        <v>528</v>
      </c>
      <c r="P536" s="164" t="s">
        <v>1091</v>
      </c>
    </row>
    <row r="537" s="92" customFormat="1" ht="20.1" customHeight="1" spans="1:16">
      <c r="A537" s="157" t="s">
        <v>2171</v>
      </c>
      <c r="B537" s="36" t="s">
        <v>1093</v>
      </c>
      <c r="C537" s="267"/>
      <c r="D537" s="268">
        <f t="shared" si="106"/>
        <v>0</v>
      </c>
      <c r="E537" s="267"/>
      <c r="F537" s="267"/>
      <c r="G537" s="267"/>
      <c r="H537" s="267"/>
      <c r="I537" s="287"/>
      <c r="J537" s="288">
        <f t="shared" si="99"/>
        <v>0</v>
      </c>
      <c r="K537" s="276" t="s">
        <v>1087</v>
      </c>
      <c r="L537" s="33">
        <v>1</v>
      </c>
      <c r="M537" s="157" t="s">
        <v>2171</v>
      </c>
      <c r="N537" s="157"/>
      <c r="O537" s="157" t="s">
        <v>528</v>
      </c>
      <c r="P537" s="164" t="s">
        <v>1094</v>
      </c>
    </row>
    <row r="538" s="92" customFormat="1" ht="20.1" customHeight="1" spans="1:16">
      <c r="A538" s="157" t="s">
        <v>2172</v>
      </c>
      <c r="B538" s="36" t="s">
        <v>2173</v>
      </c>
      <c r="C538" s="267"/>
      <c r="D538" s="268">
        <f t="shared" si="106"/>
        <v>0</v>
      </c>
      <c r="E538" s="267"/>
      <c r="F538" s="267"/>
      <c r="G538" s="267"/>
      <c r="H538" s="267"/>
      <c r="I538" s="287"/>
      <c r="J538" s="288">
        <f t="shared" si="99"/>
        <v>0</v>
      </c>
      <c r="K538" s="276" t="s">
        <v>1087</v>
      </c>
      <c r="L538" s="33">
        <v>1</v>
      </c>
      <c r="M538" s="157" t="s">
        <v>2172</v>
      </c>
      <c r="N538" s="157"/>
      <c r="O538" s="157" t="s">
        <v>528</v>
      </c>
      <c r="P538" s="163" t="s">
        <v>2174</v>
      </c>
    </row>
    <row r="539" s="92" customFormat="1" ht="20.1" customHeight="1" spans="1:16">
      <c r="A539" s="157" t="s">
        <v>2175</v>
      </c>
      <c r="B539" s="36" t="s">
        <v>2176</v>
      </c>
      <c r="C539" s="267"/>
      <c r="D539" s="268">
        <f t="shared" si="106"/>
        <v>0</v>
      </c>
      <c r="E539" s="267"/>
      <c r="F539" s="267"/>
      <c r="G539" s="267"/>
      <c r="H539" s="267"/>
      <c r="I539" s="287"/>
      <c r="J539" s="288">
        <f t="shared" si="99"/>
        <v>0</v>
      </c>
      <c r="K539" s="276" t="s">
        <v>1087</v>
      </c>
      <c r="L539" s="33">
        <v>1</v>
      </c>
      <c r="M539" s="157" t="s">
        <v>2175</v>
      </c>
      <c r="N539" s="157"/>
      <c r="O539" s="157" t="s">
        <v>528</v>
      </c>
      <c r="P539" s="163" t="s">
        <v>2177</v>
      </c>
    </row>
    <row r="540" s="92" customFormat="1" ht="20.1" customHeight="1" spans="1:16">
      <c r="A540" s="157" t="s">
        <v>2178</v>
      </c>
      <c r="B540" s="36" t="s">
        <v>2179</v>
      </c>
      <c r="C540" s="267"/>
      <c r="D540" s="268">
        <f t="shared" si="106"/>
        <v>0</v>
      </c>
      <c r="E540" s="267"/>
      <c r="F540" s="267"/>
      <c r="G540" s="267"/>
      <c r="H540" s="267"/>
      <c r="I540" s="287"/>
      <c r="J540" s="288">
        <f t="shared" si="99"/>
        <v>0</v>
      </c>
      <c r="K540" s="276" t="s">
        <v>1087</v>
      </c>
      <c r="L540" s="33">
        <v>1</v>
      </c>
      <c r="M540" s="157" t="s">
        <v>2178</v>
      </c>
      <c r="N540" s="157"/>
      <c r="O540" s="157" t="s">
        <v>528</v>
      </c>
      <c r="P540" s="163" t="s">
        <v>2180</v>
      </c>
    </row>
    <row r="541" s="92" customFormat="1" ht="20.1" customHeight="1" spans="1:16">
      <c r="A541" s="157" t="s">
        <v>2181</v>
      </c>
      <c r="B541" s="36" t="s">
        <v>2182</v>
      </c>
      <c r="C541" s="267"/>
      <c r="D541" s="268">
        <f t="shared" si="106"/>
        <v>0</v>
      </c>
      <c r="E541" s="267"/>
      <c r="F541" s="267"/>
      <c r="G541" s="267"/>
      <c r="H541" s="267"/>
      <c r="I541" s="287"/>
      <c r="J541" s="288">
        <f t="shared" si="99"/>
        <v>0</v>
      </c>
      <c r="K541" s="276" t="s">
        <v>1087</v>
      </c>
      <c r="L541" s="33">
        <v>1</v>
      </c>
      <c r="M541" s="157" t="s">
        <v>2181</v>
      </c>
      <c r="N541" s="157"/>
      <c r="O541" s="157" t="s">
        <v>528</v>
      </c>
      <c r="P541" s="163" t="s">
        <v>2183</v>
      </c>
    </row>
    <row r="542" s="92" customFormat="1" ht="20.1" customHeight="1" spans="1:16">
      <c r="A542" s="157" t="s">
        <v>2184</v>
      </c>
      <c r="B542" s="36" t="s">
        <v>2185</v>
      </c>
      <c r="C542" s="267">
        <v>23</v>
      </c>
      <c r="D542" s="268">
        <f t="shared" si="106"/>
        <v>24</v>
      </c>
      <c r="E542" s="267"/>
      <c r="F542" s="267"/>
      <c r="G542" s="267"/>
      <c r="H542" s="267"/>
      <c r="I542" s="287">
        <v>24</v>
      </c>
      <c r="J542" s="288">
        <f t="shared" ref="J542:J557" si="111">ROUND(IF(C542=0,IF(D542=0,0,1),IF(D542=0,-1,D542/C542)),4)*100</f>
        <v>104.35</v>
      </c>
      <c r="K542" s="276" t="s">
        <v>1087</v>
      </c>
      <c r="L542" s="33">
        <v>1</v>
      </c>
      <c r="M542" s="157" t="s">
        <v>2184</v>
      </c>
      <c r="N542" s="157"/>
      <c r="O542" s="157" t="s">
        <v>528</v>
      </c>
      <c r="P542" s="163" t="s">
        <v>2186</v>
      </c>
    </row>
    <row r="543" s="92" customFormat="1" ht="20.1" customHeight="1" spans="1:16">
      <c r="A543" s="157" t="s">
        <v>2187</v>
      </c>
      <c r="B543" s="36" t="s">
        <v>2188</v>
      </c>
      <c r="C543" s="267"/>
      <c r="D543" s="268">
        <f t="shared" si="106"/>
        <v>0</v>
      </c>
      <c r="E543" s="267"/>
      <c r="F543" s="267"/>
      <c r="G543" s="267"/>
      <c r="H543" s="267"/>
      <c r="I543" s="287"/>
      <c r="J543" s="288">
        <f t="shared" si="111"/>
        <v>0</v>
      </c>
      <c r="K543" s="276" t="s">
        <v>1087</v>
      </c>
      <c r="L543" s="33">
        <v>1</v>
      </c>
      <c r="M543" s="157" t="s">
        <v>2187</v>
      </c>
      <c r="N543" s="157"/>
      <c r="O543" s="157" t="s">
        <v>528</v>
      </c>
      <c r="P543" s="163" t="s">
        <v>2189</v>
      </c>
    </row>
    <row r="544" s="92" customFormat="1" ht="20.1" customHeight="1" spans="1:16">
      <c r="A544" s="157" t="s">
        <v>2190</v>
      </c>
      <c r="B544" s="36" t="s">
        <v>2191</v>
      </c>
      <c r="C544" s="267"/>
      <c r="D544" s="268">
        <f t="shared" si="106"/>
        <v>0</v>
      </c>
      <c r="E544" s="267"/>
      <c r="F544" s="267"/>
      <c r="G544" s="267"/>
      <c r="H544" s="267"/>
      <c r="I544" s="287"/>
      <c r="J544" s="288">
        <f t="shared" si="111"/>
        <v>0</v>
      </c>
      <c r="K544" s="276" t="s">
        <v>1087</v>
      </c>
      <c r="L544" s="33">
        <v>1</v>
      </c>
      <c r="M544" s="157" t="s">
        <v>2190</v>
      </c>
      <c r="N544" s="157"/>
      <c r="O544" s="157" t="s">
        <v>528</v>
      </c>
      <c r="P544" s="163" t="s">
        <v>2192</v>
      </c>
    </row>
    <row r="545" s="93" customFormat="1" ht="20.1" customHeight="1" spans="1:16">
      <c r="A545" s="263" t="s">
        <v>529</v>
      </c>
      <c r="B545" s="297" t="s">
        <v>295</v>
      </c>
      <c r="C545" s="265">
        <f t="shared" ref="C545:I545" si="112">SUM(C546:C553)</f>
        <v>37</v>
      </c>
      <c r="D545" s="265">
        <f t="shared" si="106"/>
        <v>26</v>
      </c>
      <c r="E545" s="265">
        <f t="shared" si="112"/>
        <v>0</v>
      </c>
      <c r="F545" s="265">
        <f t="shared" si="112"/>
        <v>0</v>
      </c>
      <c r="G545" s="265">
        <f t="shared" si="112"/>
        <v>26</v>
      </c>
      <c r="H545" s="265">
        <f t="shared" si="112"/>
        <v>0</v>
      </c>
      <c r="I545" s="265">
        <f t="shared" si="112"/>
        <v>0</v>
      </c>
      <c r="J545" s="298">
        <f t="shared" si="111"/>
        <v>70.27</v>
      </c>
      <c r="K545" s="284" t="s">
        <v>1082</v>
      </c>
      <c r="L545" s="285"/>
      <c r="M545" s="263" t="s">
        <v>529</v>
      </c>
      <c r="N545" s="263" t="s">
        <v>525</v>
      </c>
      <c r="O545" s="263" t="s">
        <v>529</v>
      </c>
      <c r="P545" s="286" t="s">
        <v>2193</v>
      </c>
    </row>
    <row r="546" s="92" customFormat="1" ht="20.1" customHeight="1" spans="1:16">
      <c r="A546" s="157" t="s">
        <v>2194</v>
      </c>
      <c r="B546" s="36" t="s">
        <v>1086</v>
      </c>
      <c r="C546" s="267"/>
      <c r="D546" s="268">
        <f t="shared" si="106"/>
        <v>0</v>
      </c>
      <c r="E546" s="267"/>
      <c r="F546" s="267"/>
      <c r="G546" s="267"/>
      <c r="H546" s="267"/>
      <c r="I546" s="287"/>
      <c r="J546" s="288">
        <f t="shared" si="111"/>
        <v>0</v>
      </c>
      <c r="K546" s="276" t="s">
        <v>1087</v>
      </c>
      <c r="L546" s="33">
        <v>1</v>
      </c>
      <c r="M546" s="157" t="s">
        <v>2194</v>
      </c>
      <c r="N546" s="157"/>
      <c r="O546" s="157" t="s">
        <v>529</v>
      </c>
      <c r="P546" s="164" t="s">
        <v>1088</v>
      </c>
    </row>
    <row r="547" s="92" customFormat="1" ht="20.1" customHeight="1" spans="1:16">
      <c r="A547" s="157" t="s">
        <v>2195</v>
      </c>
      <c r="B547" s="36" t="s">
        <v>1090</v>
      </c>
      <c r="C547" s="267"/>
      <c r="D547" s="268">
        <f t="shared" si="106"/>
        <v>0</v>
      </c>
      <c r="E547" s="267"/>
      <c r="F547" s="267"/>
      <c r="G547" s="267"/>
      <c r="H547" s="267"/>
      <c r="I547" s="287"/>
      <c r="J547" s="288">
        <f t="shared" si="111"/>
        <v>0</v>
      </c>
      <c r="K547" s="276" t="s">
        <v>1087</v>
      </c>
      <c r="L547" s="33">
        <v>1</v>
      </c>
      <c r="M547" s="157" t="s">
        <v>2195</v>
      </c>
      <c r="N547" s="157"/>
      <c r="O547" s="157" t="s">
        <v>529</v>
      </c>
      <c r="P547" s="164" t="s">
        <v>1091</v>
      </c>
    </row>
    <row r="548" s="92" customFormat="1" ht="20.1" customHeight="1" spans="1:16">
      <c r="A548" s="157" t="s">
        <v>2196</v>
      </c>
      <c r="B548" s="36" t="s">
        <v>1093</v>
      </c>
      <c r="C548" s="267"/>
      <c r="D548" s="268">
        <f t="shared" si="106"/>
        <v>0</v>
      </c>
      <c r="E548" s="267"/>
      <c r="F548" s="267"/>
      <c r="G548" s="267"/>
      <c r="H548" s="267"/>
      <c r="I548" s="287"/>
      <c r="J548" s="288">
        <f t="shared" si="111"/>
        <v>0</v>
      </c>
      <c r="K548" s="276" t="s">
        <v>1087</v>
      </c>
      <c r="L548" s="33">
        <v>1</v>
      </c>
      <c r="M548" s="157" t="s">
        <v>2196</v>
      </c>
      <c r="N548" s="157"/>
      <c r="O548" s="157" t="s">
        <v>529</v>
      </c>
      <c r="P548" s="164" t="s">
        <v>1094</v>
      </c>
    </row>
    <row r="549" s="92" customFormat="1" ht="20.1" customHeight="1" spans="1:16">
      <c r="A549" s="157" t="s">
        <v>2197</v>
      </c>
      <c r="B549" s="36" t="s">
        <v>2198</v>
      </c>
      <c r="C549" s="267"/>
      <c r="D549" s="268">
        <f t="shared" si="106"/>
        <v>0</v>
      </c>
      <c r="E549" s="267"/>
      <c r="F549" s="267"/>
      <c r="G549" s="267"/>
      <c r="H549" s="267"/>
      <c r="I549" s="287"/>
      <c r="J549" s="288">
        <f t="shared" si="111"/>
        <v>0</v>
      </c>
      <c r="K549" s="276" t="s">
        <v>1087</v>
      </c>
      <c r="L549" s="33">
        <v>1</v>
      </c>
      <c r="M549" s="157" t="s">
        <v>2197</v>
      </c>
      <c r="N549" s="157"/>
      <c r="O549" s="157" t="s">
        <v>529</v>
      </c>
      <c r="P549" s="164" t="s">
        <v>2199</v>
      </c>
    </row>
    <row r="550" s="92" customFormat="1" ht="20.1" customHeight="1" spans="1:16">
      <c r="A550" s="157" t="s">
        <v>2200</v>
      </c>
      <c r="B550" s="36" t="s">
        <v>2201</v>
      </c>
      <c r="C550" s="267"/>
      <c r="D550" s="268">
        <f t="shared" si="106"/>
        <v>0</v>
      </c>
      <c r="E550" s="267"/>
      <c r="F550" s="267"/>
      <c r="G550" s="267"/>
      <c r="H550" s="267"/>
      <c r="I550" s="287"/>
      <c r="J550" s="288">
        <f t="shared" si="111"/>
        <v>0</v>
      </c>
      <c r="K550" s="276" t="s">
        <v>1087</v>
      </c>
      <c r="L550" s="33">
        <v>1</v>
      </c>
      <c r="M550" s="157" t="s">
        <v>2200</v>
      </c>
      <c r="N550" s="157"/>
      <c r="O550" s="157" t="s">
        <v>529</v>
      </c>
      <c r="P550" s="164" t="s">
        <v>2202</v>
      </c>
    </row>
    <row r="551" s="92" customFormat="1" ht="20.1" customHeight="1" spans="1:16">
      <c r="A551" s="157" t="s">
        <v>2203</v>
      </c>
      <c r="B551" s="36" t="s">
        <v>2204</v>
      </c>
      <c r="C551" s="267"/>
      <c r="D551" s="268">
        <f t="shared" si="106"/>
        <v>0</v>
      </c>
      <c r="E551" s="267"/>
      <c r="F551" s="267"/>
      <c r="G551" s="267"/>
      <c r="H551" s="267"/>
      <c r="I551" s="287"/>
      <c r="J551" s="288">
        <f t="shared" si="111"/>
        <v>0</v>
      </c>
      <c r="K551" s="276" t="s">
        <v>1087</v>
      </c>
      <c r="L551" s="33">
        <v>1</v>
      </c>
      <c r="M551" s="157" t="s">
        <v>2203</v>
      </c>
      <c r="N551" s="157"/>
      <c r="O551" s="157" t="s">
        <v>529</v>
      </c>
      <c r="P551" s="164" t="s">
        <v>2205</v>
      </c>
    </row>
    <row r="552" s="92" customFormat="1" ht="20.1" customHeight="1" spans="1:16">
      <c r="A552" s="157" t="s">
        <v>2206</v>
      </c>
      <c r="B552" s="36" t="s">
        <v>2207</v>
      </c>
      <c r="C552" s="267">
        <v>37</v>
      </c>
      <c r="D552" s="268">
        <f t="shared" si="106"/>
        <v>26</v>
      </c>
      <c r="E552" s="267"/>
      <c r="F552" s="267"/>
      <c r="G552" s="267">
        <v>26</v>
      </c>
      <c r="H552" s="267"/>
      <c r="I552" s="287"/>
      <c r="J552" s="288">
        <f t="shared" si="111"/>
        <v>70.27</v>
      </c>
      <c r="K552" s="276" t="s">
        <v>1087</v>
      </c>
      <c r="L552" s="33">
        <v>1</v>
      </c>
      <c r="M552" s="157" t="s">
        <v>2206</v>
      </c>
      <c r="N552" s="157"/>
      <c r="O552" s="157" t="s">
        <v>529</v>
      </c>
      <c r="P552" s="164" t="s">
        <v>2208</v>
      </c>
    </row>
    <row r="553" s="92" customFormat="1" ht="20.1" customHeight="1" spans="1:16">
      <c r="A553" s="157" t="s">
        <v>2209</v>
      </c>
      <c r="B553" s="36" t="s">
        <v>2210</v>
      </c>
      <c r="C553" s="267"/>
      <c r="D553" s="268">
        <f t="shared" si="106"/>
        <v>0</v>
      </c>
      <c r="E553" s="267"/>
      <c r="F553" s="267"/>
      <c r="G553" s="267"/>
      <c r="H553" s="267"/>
      <c r="I553" s="287"/>
      <c r="J553" s="288">
        <f t="shared" si="111"/>
        <v>0</v>
      </c>
      <c r="K553" s="276" t="s">
        <v>1087</v>
      </c>
      <c r="L553" s="33">
        <v>1</v>
      </c>
      <c r="M553" s="157" t="s">
        <v>2209</v>
      </c>
      <c r="N553" s="157"/>
      <c r="O553" s="157" t="s">
        <v>529</v>
      </c>
      <c r="P553" s="164" t="s">
        <v>2211</v>
      </c>
    </row>
    <row r="554" s="93" customFormat="1" ht="20.1" customHeight="1" spans="1:16">
      <c r="A554" s="263" t="s">
        <v>530</v>
      </c>
      <c r="B554" s="297" t="s">
        <v>296</v>
      </c>
      <c r="C554" s="265">
        <f t="shared" ref="C554:I554" si="113">SUM(C555:C561)</f>
        <v>380</v>
      </c>
      <c r="D554" s="265">
        <f t="shared" si="106"/>
        <v>536</v>
      </c>
      <c r="E554" s="265">
        <f t="shared" si="113"/>
        <v>0</v>
      </c>
      <c r="F554" s="265">
        <f t="shared" si="113"/>
        <v>0</v>
      </c>
      <c r="G554" s="265">
        <f t="shared" si="113"/>
        <v>85</v>
      </c>
      <c r="H554" s="265">
        <f t="shared" si="113"/>
        <v>0</v>
      </c>
      <c r="I554" s="265">
        <f t="shared" si="113"/>
        <v>451</v>
      </c>
      <c r="J554" s="298">
        <f t="shared" si="111"/>
        <v>141.05</v>
      </c>
      <c r="K554" s="284" t="s">
        <v>1082</v>
      </c>
      <c r="L554" s="285"/>
      <c r="M554" s="263" t="s">
        <v>530</v>
      </c>
      <c r="N554" s="263" t="s">
        <v>525</v>
      </c>
      <c r="O554" s="263" t="s">
        <v>530</v>
      </c>
      <c r="P554" s="286" t="s">
        <v>2212</v>
      </c>
    </row>
    <row r="555" s="92" customFormat="1" ht="20.1" customHeight="1" spans="1:16">
      <c r="A555" s="157" t="s">
        <v>2213</v>
      </c>
      <c r="B555" s="36" t="s">
        <v>1086</v>
      </c>
      <c r="C555" s="267"/>
      <c r="D555" s="268">
        <f t="shared" si="106"/>
        <v>0</v>
      </c>
      <c r="E555" s="267"/>
      <c r="F555" s="267"/>
      <c r="G555" s="267"/>
      <c r="H555" s="267"/>
      <c r="I555" s="287"/>
      <c r="J555" s="288">
        <f t="shared" si="111"/>
        <v>0</v>
      </c>
      <c r="K555" s="276" t="s">
        <v>1087</v>
      </c>
      <c r="L555" s="33">
        <v>1</v>
      </c>
      <c r="M555" s="157" t="s">
        <v>2213</v>
      </c>
      <c r="N555" s="157"/>
      <c r="O555" s="157" t="s">
        <v>530</v>
      </c>
      <c r="P555" s="164" t="s">
        <v>1088</v>
      </c>
    </row>
    <row r="556" s="92" customFormat="1" ht="20.1" customHeight="1" spans="1:16">
      <c r="A556" s="157" t="s">
        <v>2214</v>
      </c>
      <c r="B556" s="36" t="s">
        <v>1090</v>
      </c>
      <c r="C556" s="267"/>
      <c r="D556" s="268">
        <f t="shared" si="106"/>
        <v>0</v>
      </c>
      <c r="E556" s="267"/>
      <c r="F556" s="267"/>
      <c r="G556" s="267"/>
      <c r="H556" s="267"/>
      <c r="I556" s="287"/>
      <c r="J556" s="288">
        <f t="shared" si="111"/>
        <v>0</v>
      </c>
      <c r="K556" s="276" t="s">
        <v>1087</v>
      </c>
      <c r="L556" s="33">
        <v>1</v>
      </c>
      <c r="M556" s="157" t="s">
        <v>2214</v>
      </c>
      <c r="N556" s="157"/>
      <c r="O556" s="157" t="s">
        <v>530</v>
      </c>
      <c r="P556" s="164" t="s">
        <v>1091</v>
      </c>
    </row>
    <row r="557" s="92" customFormat="1" ht="20.1" customHeight="1" spans="1:16">
      <c r="A557" s="157" t="s">
        <v>2215</v>
      </c>
      <c r="B557" s="36" t="s">
        <v>1093</v>
      </c>
      <c r="C557" s="267"/>
      <c r="D557" s="268">
        <f t="shared" si="106"/>
        <v>0</v>
      </c>
      <c r="E557" s="267"/>
      <c r="F557" s="267"/>
      <c r="G557" s="267"/>
      <c r="H557" s="267"/>
      <c r="I557" s="287"/>
      <c r="J557" s="288">
        <f t="shared" si="111"/>
        <v>0</v>
      </c>
      <c r="K557" s="276" t="s">
        <v>1087</v>
      </c>
      <c r="L557" s="33">
        <v>1</v>
      </c>
      <c r="M557" s="157" t="s">
        <v>2215</v>
      </c>
      <c r="N557" s="157"/>
      <c r="O557" s="157" t="s">
        <v>530</v>
      </c>
      <c r="P557" s="164" t="s">
        <v>1094</v>
      </c>
    </row>
    <row r="558" s="92" customFormat="1" ht="20.1" customHeight="1" spans="1:16">
      <c r="A558" s="299" t="s">
        <v>2216</v>
      </c>
      <c r="B558" s="300" t="s">
        <v>2217</v>
      </c>
      <c r="C558" s="267"/>
      <c r="D558" s="268">
        <f t="shared" si="106"/>
        <v>0</v>
      </c>
      <c r="E558" s="267"/>
      <c r="F558" s="267"/>
      <c r="G558" s="267"/>
      <c r="H558" s="267"/>
      <c r="I558" s="287"/>
      <c r="J558" s="288"/>
      <c r="K558" s="276" t="s">
        <v>1087</v>
      </c>
      <c r="L558" s="33">
        <v>1</v>
      </c>
      <c r="M558" s="299" t="s">
        <v>2216</v>
      </c>
      <c r="N558" s="157"/>
      <c r="O558" s="157" t="s">
        <v>530</v>
      </c>
      <c r="P558" s="164" t="s">
        <v>2218</v>
      </c>
    </row>
    <row r="559" s="92" customFormat="1" ht="20.1" customHeight="1" spans="1:16">
      <c r="A559" s="301" t="s">
        <v>2219</v>
      </c>
      <c r="B559" s="302" t="s">
        <v>2220</v>
      </c>
      <c r="C559" s="267">
        <v>54</v>
      </c>
      <c r="D559" s="268">
        <f t="shared" si="106"/>
        <v>92</v>
      </c>
      <c r="E559" s="267"/>
      <c r="F559" s="267"/>
      <c r="G559" s="267">
        <v>77</v>
      </c>
      <c r="H559" s="267"/>
      <c r="I559" s="287">
        <v>15</v>
      </c>
      <c r="J559" s="288">
        <f t="shared" ref="J559:J578" si="114">ROUND(IF(C559=0,IF(D559=0,0,1),IF(D559=0,-1,D559/C559)),4)*100</f>
        <v>170.37</v>
      </c>
      <c r="K559" s="276" t="s">
        <v>1087</v>
      </c>
      <c r="L559" s="33">
        <v>1</v>
      </c>
      <c r="M559" s="301" t="s">
        <v>2219</v>
      </c>
      <c r="N559" s="157"/>
      <c r="O559" s="157" t="s">
        <v>530</v>
      </c>
      <c r="P559" s="164" t="s">
        <v>2221</v>
      </c>
    </row>
    <row r="560" s="92" customFormat="1" ht="20.1" customHeight="1" spans="1:16">
      <c r="A560" s="301" t="s">
        <v>2222</v>
      </c>
      <c r="B560" s="302" t="s">
        <v>2223</v>
      </c>
      <c r="C560" s="267">
        <v>321</v>
      </c>
      <c r="D560" s="268">
        <f t="shared" si="106"/>
        <v>436</v>
      </c>
      <c r="E560" s="267"/>
      <c r="F560" s="267"/>
      <c r="G560" s="267">
        <v>8</v>
      </c>
      <c r="H560" s="267"/>
      <c r="I560" s="287">
        <v>428</v>
      </c>
      <c r="J560" s="288">
        <f t="shared" si="114"/>
        <v>135.83</v>
      </c>
      <c r="K560" s="276" t="s">
        <v>1087</v>
      </c>
      <c r="L560" s="33">
        <v>1</v>
      </c>
      <c r="M560" s="301" t="s">
        <v>2222</v>
      </c>
      <c r="N560" s="157"/>
      <c r="O560" s="157" t="s">
        <v>530</v>
      </c>
      <c r="P560" s="164" t="s">
        <v>2224</v>
      </c>
    </row>
    <row r="561" s="92" customFormat="1" ht="20.1" customHeight="1" spans="1:16">
      <c r="A561" s="157" t="s">
        <v>2225</v>
      </c>
      <c r="B561" s="36" t="s">
        <v>2226</v>
      </c>
      <c r="C561" s="267">
        <v>5</v>
      </c>
      <c r="D561" s="268">
        <f t="shared" si="106"/>
        <v>8</v>
      </c>
      <c r="E561" s="267"/>
      <c r="F561" s="267"/>
      <c r="G561" s="267"/>
      <c r="H561" s="267"/>
      <c r="I561" s="287">
        <v>8</v>
      </c>
      <c r="J561" s="288">
        <f t="shared" si="114"/>
        <v>160</v>
      </c>
      <c r="K561" s="276" t="s">
        <v>1087</v>
      </c>
      <c r="L561" s="33">
        <v>1</v>
      </c>
      <c r="M561" s="157" t="s">
        <v>2225</v>
      </c>
      <c r="N561" s="157"/>
      <c r="O561" s="157" t="s">
        <v>530</v>
      </c>
      <c r="P561" s="164" t="s">
        <v>2227</v>
      </c>
    </row>
    <row r="562" s="93" customFormat="1" ht="20.1" customHeight="1" spans="1:16">
      <c r="A562" s="263" t="s">
        <v>531</v>
      </c>
      <c r="B562" s="297" t="s">
        <v>297</v>
      </c>
      <c r="C562" s="265">
        <f t="shared" ref="C562:I562" si="115">SUM(C563:C564)</f>
        <v>0</v>
      </c>
      <c r="D562" s="265">
        <f t="shared" si="106"/>
        <v>15</v>
      </c>
      <c r="E562" s="265">
        <f t="shared" si="115"/>
        <v>0</v>
      </c>
      <c r="F562" s="265">
        <f t="shared" si="115"/>
        <v>0</v>
      </c>
      <c r="G562" s="265">
        <f t="shared" si="115"/>
        <v>15</v>
      </c>
      <c r="H562" s="265">
        <f t="shared" si="115"/>
        <v>0</v>
      </c>
      <c r="I562" s="265">
        <f t="shared" si="115"/>
        <v>0</v>
      </c>
      <c r="J562" s="298">
        <f t="shared" si="114"/>
        <v>100</v>
      </c>
      <c r="K562" s="284" t="s">
        <v>1082</v>
      </c>
      <c r="L562" s="285"/>
      <c r="M562" s="263" t="s">
        <v>531</v>
      </c>
      <c r="N562" s="263" t="s">
        <v>525</v>
      </c>
      <c r="O562" s="263" t="s">
        <v>531</v>
      </c>
      <c r="P562" s="286" t="s">
        <v>2228</v>
      </c>
    </row>
    <row r="563" s="92" customFormat="1" ht="20.1" customHeight="1" spans="1:16">
      <c r="A563" s="157" t="s">
        <v>2229</v>
      </c>
      <c r="B563" s="36" t="s">
        <v>2230</v>
      </c>
      <c r="C563" s="267">
        <v>0</v>
      </c>
      <c r="D563" s="268">
        <f t="shared" si="106"/>
        <v>15</v>
      </c>
      <c r="E563" s="267"/>
      <c r="F563" s="267"/>
      <c r="G563" s="267">
        <v>15</v>
      </c>
      <c r="H563" s="267"/>
      <c r="I563" s="287"/>
      <c r="J563" s="288">
        <f t="shared" si="114"/>
        <v>100</v>
      </c>
      <c r="K563" s="276" t="s">
        <v>1087</v>
      </c>
      <c r="L563" s="33">
        <v>1</v>
      </c>
      <c r="M563" s="157" t="s">
        <v>2229</v>
      </c>
      <c r="N563" s="157"/>
      <c r="O563" s="157" t="s">
        <v>531</v>
      </c>
      <c r="P563" s="163" t="s">
        <v>2231</v>
      </c>
    </row>
    <row r="564" s="92" customFormat="1" ht="20.1" customHeight="1" spans="1:16">
      <c r="A564" s="157" t="s">
        <v>2232</v>
      </c>
      <c r="B564" s="36" t="s">
        <v>2233</v>
      </c>
      <c r="C564" s="267">
        <v>0</v>
      </c>
      <c r="D564" s="268">
        <f t="shared" si="106"/>
        <v>0</v>
      </c>
      <c r="E564" s="267"/>
      <c r="F564" s="267"/>
      <c r="G564" s="267"/>
      <c r="H564" s="267"/>
      <c r="I564" s="287"/>
      <c r="J564" s="288">
        <f t="shared" si="114"/>
        <v>0</v>
      </c>
      <c r="K564" s="276" t="s">
        <v>1087</v>
      </c>
      <c r="L564" s="33">
        <v>1</v>
      </c>
      <c r="M564" s="157" t="s">
        <v>2232</v>
      </c>
      <c r="N564" s="157"/>
      <c r="O564" s="157" t="s">
        <v>531</v>
      </c>
      <c r="P564" s="163" t="s">
        <v>2228</v>
      </c>
    </row>
    <row r="565" s="93" customFormat="1" ht="20.1" customHeight="1" spans="1:16">
      <c r="A565" s="154" t="s">
        <v>532</v>
      </c>
      <c r="B565" s="261" t="s">
        <v>298</v>
      </c>
      <c r="C565" s="262">
        <f t="shared" ref="C565:I565" si="116">C566+C585+C594+C596+C605+C609+C619+C628+C635+C643+C652+C658+C661+C664+C667+C670+C673+C677+C681+C690+C693</f>
        <v>59901</v>
      </c>
      <c r="D565" s="262">
        <f t="shared" si="106"/>
        <v>65144</v>
      </c>
      <c r="E565" s="262">
        <f t="shared" si="116"/>
        <v>22154</v>
      </c>
      <c r="F565" s="262">
        <f t="shared" si="116"/>
        <v>28</v>
      </c>
      <c r="G565" s="262">
        <f t="shared" si="116"/>
        <v>6075</v>
      </c>
      <c r="H565" s="262">
        <f t="shared" si="116"/>
        <v>1034</v>
      </c>
      <c r="I565" s="262">
        <f t="shared" si="116"/>
        <v>35853</v>
      </c>
      <c r="J565" s="279">
        <f t="shared" si="114"/>
        <v>108.75</v>
      </c>
      <c r="K565" s="280" t="s">
        <v>1081</v>
      </c>
      <c r="L565" s="281"/>
      <c r="M565" s="154" t="s">
        <v>532</v>
      </c>
      <c r="N565" s="154" t="s">
        <v>532</v>
      </c>
      <c r="O565" s="154" t="s">
        <v>532</v>
      </c>
      <c r="P565" s="282" t="s">
        <v>2234</v>
      </c>
    </row>
    <row r="566" s="93" customFormat="1" ht="20.1" customHeight="1" spans="1:16">
      <c r="A566" s="263" t="s">
        <v>533</v>
      </c>
      <c r="B566" s="297" t="s">
        <v>299</v>
      </c>
      <c r="C566" s="265">
        <f t="shared" ref="C566:I566" si="117">SUM(C567:C584)</f>
        <v>3710</v>
      </c>
      <c r="D566" s="265">
        <f t="shared" si="106"/>
        <v>4296</v>
      </c>
      <c r="E566" s="265">
        <f t="shared" si="117"/>
        <v>0</v>
      </c>
      <c r="F566" s="265">
        <f t="shared" si="117"/>
        <v>0</v>
      </c>
      <c r="G566" s="265">
        <f t="shared" si="117"/>
        <v>63</v>
      </c>
      <c r="H566" s="265">
        <f t="shared" si="117"/>
        <v>0</v>
      </c>
      <c r="I566" s="265">
        <f t="shared" si="117"/>
        <v>4233</v>
      </c>
      <c r="J566" s="298">
        <f t="shared" si="114"/>
        <v>115.8</v>
      </c>
      <c r="K566" s="284" t="s">
        <v>1082</v>
      </c>
      <c r="L566" s="285"/>
      <c r="M566" s="263" t="s">
        <v>533</v>
      </c>
      <c r="N566" s="263" t="s">
        <v>532</v>
      </c>
      <c r="O566" s="263" t="s">
        <v>533</v>
      </c>
      <c r="P566" s="286" t="s">
        <v>2235</v>
      </c>
    </row>
    <row r="567" s="92" customFormat="1" ht="20.1" customHeight="1" spans="1:16">
      <c r="A567" s="157" t="s">
        <v>2236</v>
      </c>
      <c r="B567" s="36" t="s">
        <v>1086</v>
      </c>
      <c r="C567" s="267">
        <v>402</v>
      </c>
      <c r="D567" s="268">
        <f t="shared" si="106"/>
        <v>327</v>
      </c>
      <c r="E567" s="267"/>
      <c r="F567" s="267"/>
      <c r="G567" s="267"/>
      <c r="H567" s="267"/>
      <c r="I567" s="287">
        <v>327</v>
      </c>
      <c r="J567" s="288">
        <f t="shared" si="114"/>
        <v>81.34</v>
      </c>
      <c r="K567" s="276" t="s">
        <v>1087</v>
      </c>
      <c r="L567" s="33">
        <v>1</v>
      </c>
      <c r="M567" s="157" t="s">
        <v>2236</v>
      </c>
      <c r="N567" s="157"/>
      <c r="O567" s="157" t="s">
        <v>533</v>
      </c>
      <c r="P567" s="164" t="s">
        <v>1088</v>
      </c>
    </row>
    <row r="568" s="92" customFormat="1" ht="20.1" customHeight="1" spans="1:16">
      <c r="A568" s="157" t="s">
        <v>2237</v>
      </c>
      <c r="B568" s="36" t="s">
        <v>1090</v>
      </c>
      <c r="C568" s="267"/>
      <c r="D568" s="268">
        <f t="shared" si="106"/>
        <v>0</v>
      </c>
      <c r="E568" s="267"/>
      <c r="F568" s="267"/>
      <c r="G568" s="267"/>
      <c r="H568" s="267"/>
      <c r="I568" s="287"/>
      <c r="J568" s="288">
        <f t="shared" si="114"/>
        <v>0</v>
      </c>
      <c r="K568" s="276" t="s">
        <v>1087</v>
      </c>
      <c r="L568" s="33">
        <v>1</v>
      </c>
      <c r="M568" s="157" t="s">
        <v>2237</v>
      </c>
      <c r="N568" s="157"/>
      <c r="O568" s="157" t="s">
        <v>533</v>
      </c>
      <c r="P568" s="164" t="s">
        <v>1091</v>
      </c>
    </row>
    <row r="569" s="92" customFormat="1" ht="20.1" customHeight="1" spans="1:16">
      <c r="A569" s="157" t="s">
        <v>2238</v>
      </c>
      <c r="B569" s="36" t="s">
        <v>1093</v>
      </c>
      <c r="C569" s="267"/>
      <c r="D569" s="268">
        <f t="shared" ref="D569:D632" si="118">SUM(E569:I569)</f>
        <v>0</v>
      </c>
      <c r="E569" s="267"/>
      <c r="F569" s="267"/>
      <c r="G569" s="267"/>
      <c r="H569" s="267"/>
      <c r="I569" s="287"/>
      <c r="J569" s="288">
        <f t="shared" si="114"/>
        <v>0</v>
      </c>
      <c r="K569" s="276" t="s">
        <v>1087</v>
      </c>
      <c r="L569" s="33">
        <v>1</v>
      </c>
      <c r="M569" s="157" t="s">
        <v>2238</v>
      </c>
      <c r="N569" s="157"/>
      <c r="O569" s="157" t="s">
        <v>533</v>
      </c>
      <c r="P569" s="164" t="s">
        <v>1094</v>
      </c>
    </row>
    <row r="570" s="92" customFormat="1" ht="20.1" customHeight="1" spans="1:16">
      <c r="A570" s="157" t="s">
        <v>2239</v>
      </c>
      <c r="B570" s="36" t="s">
        <v>2240</v>
      </c>
      <c r="C570" s="267">
        <v>8</v>
      </c>
      <c r="D570" s="268">
        <f t="shared" si="118"/>
        <v>10</v>
      </c>
      <c r="E570" s="267"/>
      <c r="F570" s="267"/>
      <c r="G570" s="267"/>
      <c r="H570" s="267"/>
      <c r="I570" s="287">
        <v>10</v>
      </c>
      <c r="J570" s="288">
        <f t="shared" si="114"/>
        <v>125</v>
      </c>
      <c r="K570" s="276" t="s">
        <v>1087</v>
      </c>
      <c r="L570" s="33">
        <v>1</v>
      </c>
      <c r="M570" s="157" t="s">
        <v>2239</v>
      </c>
      <c r="N570" s="157"/>
      <c r="O570" s="157" t="s">
        <v>533</v>
      </c>
      <c r="P570" s="163" t="s">
        <v>2241</v>
      </c>
    </row>
    <row r="571" s="92" customFormat="1" ht="20.1" customHeight="1" spans="1:16">
      <c r="A571" s="157" t="s">
        <v>2242</v>
      </c>
      <c r="B571" s="36" t="s">
        <v>2243</v>
      </c>
      <c r="C571" s="267"/>
      <c r="D571" s="268">
        <f t="shared" si="118"/>
        <v>0</v>
      </c>
      <c r="E571" s="267"/>
      <c r="F571" s="267"/>
      <c r="G571" s="267"/>
      <c r="H571" s="267"/>
      <c r="I571" s="287"/>
      <c r="J571" s="288">
        <f t="shared" si="114"/>
        <v>0</v>
      </c>
      <c r="K571" s="276" t="s">
        <v>1087</v>
      </c>
      <c r="L571" s="33">
        <v>1</v>
      </c>
      <c r="M571" s="157" t="s">
        <v>2242</v>
      </c>
      <c r="N571" s="157"/>
      <c r="O571" s="157" t="s">
        <v>533</v>
      </c>
      <c r="P571" s="163" t="s">
        <v>2244</v>
      </c>
    </row>
    <row r="572" s="92" customFormat="1" ht="20.1" customHeight="1" spans="1:16">
      <c r="A572" s="157" t="s">
        <v>2245</v>
      </c>
      <c r="B572" s="36" t="s">
        <v>2246</v>
      </c>
      <c r="C572" s="267"/>
      <c r="D572" s="268">
        <f t="shared" si="118"/>
        <v>0</v>
      </c>
      <c r="E572" s="267"/>
      <c r="F572" s="267"/>
      <c r="G572" s="267"/>
      <c r="H572" s="267"/>
      <c r="I572" s="287"/>
      <c r="J572" s="288">
        <f t="shared" si="114"/>
        <v>0</v>
      </c>
      <c r="K572" s="276" t="s">
        <v>1087</v>
      </c>
      <c r="L572" s="33">
        <v>1</v>
      </c>
      <c r="M572" s="157" t="s">
        <v>2245</v>
      </c>
      <c r="N572" s="157"/>
      <c r="O572" s="157" t="s">
        <v>533</v>
      </c>
      <c r="P572" s="163" t="s">
        <v>2247</v>
      </c>
    </row>
    <row r="573" s="92" customFormat="1" ht="20.1" customHeight="1" spans="1:16">
      <c r="A573" s="157" t="s">
        <v>2248</v>
      </c>
      <c r="B573" s="36" t="s">
        <v>2249</v>
      </c>
      <c r="C573" s="267"/>
      <c r="D573" s="268">
        <f t="shared" si="118"/>
        <v>0</v>
      </c>
      <c r="E573" s="267"/>
      <c r="F573" s="267"/>
      <c r="G573" s="267"/>
      <c r="H573" s="267"/>
      <c r="I573" s="287"/>
      <c r="J573" s="288">
        <f t="shared" si="114"/>
        <v>0</v>
      </c>
      <c r="K573" s="276" t="s">
        <v>1087</v>
      </c>
      <c r="L573" s="33">
        <v>1</v>
      </c>
      <c r="M573" s="157" t="s">
        <v>2248</v>
      </c>
      <c r="N573" s="157"/>
      <c r="O573" s="157" t="s">
        <v>533</v>
      </c>
      <c r="P573" s="163" t="s">
        <v>2250</v>
      </c>
    </row>
    <row r="574" s="92" customFormat="1" ht="20.1" customHeight="1" spans="1:16">
      <c r="A574" s="157" t="s">
        <v>2251</v>
      </c>
      <c r="B574" s="36" t="s">
        <v>1217</v>
      </c>
      <c r="C574" s="267"/>
      <c r="D574" s="268">
        <f t="shared" si="118"/>
        <v>0</v>
      </c>
      <c r="E574" s="267"/>
      <c r="F574" s="267"/>
      <c r="G574" s="267"/>
      <c r="H574" s="267"/>
      <c r="I574" s="287"/>
      <c r="J574" s="288">
        <f t="shared" si="114"/>
        <v>0</v>
      </c>
      <c r="K574" s="276" t="s">
        <v>1087</v>
      </c>
      <c r="L574" s="33">
        <v>1</v>
      </c>
      <c r="M574" s="157" t="s">
        <v>2251</v>
      </c>
      <c r="N574" s="157"/>
      <c r="O574" s="157" t="s">
        <v>533</v>
      </c>
      <c r="P574" s="164" t="s">
        <v>1218</v>
      </c>
    </row>
    <row r="575" s="92" customFormat="1" ht="20.1" customHeight="1" spans="1:16">
      <c r="A575" s="157" t="s">
        <v>2252</v>
      </c>
      <c r="B575" s="36" t="s">
        <v>2253</v>
      </c>
      <c r="C575" s="267">
        <v>488</v>
      </c>
      <c r="D575" s="268">
        <f t="shared" si="118"/>
        <v>482</v>
      </c>
      <c r="E575" s="267"/>
      <c r="F575" s="267"/>
      <c r="G575" s="267">
        <v>16</v>
      </c>
      <c r="H575" s="267"/>
      <c r="I575" s="287">
        <v>466</v>
      </c>
      <c r="J575" s="288">
        <f t="shared" si="114"/>
        <v>98.77</v>
      </c>
      <c r="K575" s="276" t="s">
        <v>1087</v>
      </c>
      <c r="L575" s="33">
        <v>1</v>
      </c>
      <c r="M575" s="157" t="s">
        <v>2252</v>
      </c>
      <c r="N575" s="157"/>
      <c r="O575" s="157" t="s">
        <v>533</v>
      </c>
      <c r="P575" s="163" t="s">
        <v>2254</v>
      </c>
    </row>
    <row r="576" s="92" customFormat="1" ht="20.1" customHeight="1" spans="1:16">
      <c r="A576" s="157" t="s">
        <v>2255</v>
      </c>
      <c r="B576" s="36" t="s">
        <v>2256</v>
      </c>
      <c r="C576" s="267"/>
      <c r="D576" s="268">
        <f t="shared" si="118"/>
        <v>0</v>
      </c>
      <c r="E576" s="267"/>
      <c r="F576" s="267"/>
      <c r="G576" s="267"/>
      <c r="H576" s="267"/>
      <c r="I576" s="287"/>
      <c r="J576" s="288">
        <f t="shared" si="114"/>
        <v>0</v>
      </c>
      <c r="K576" s="276" t="s">
        <v>1087</v>
      </c>
      <c r="L576" s="33">
        <v>1</v>
      </c>
      <c r="M576" s="157" t="s">
        <v>2255</v>
      </c>
      <c r="N576" s="157"/>
      <c r="O576" s="157" t="s">
        <v>533</v>
      </c>
      <c r="P576" s="163" t="s">
        <v>2257</v>
      </c>
    </row>
    <row r="577" s="92" customFormat="1" ht="20.1" customHeight="1" spans="1:16">
      <c r="A577" s="157" t="s">
        <v>2258</v>
      </c>
      <c r="B577" s="36" t="s">
        <v>2259</v>
      </c>
      <c r="C577" s="267"/>
      <c r="D577" s="268">
        <f t="shared" si="118"/>
        <v>0</v>
      </c>
      <c r="E577" s="267"/>
      <c r="F577" s="267"/>
      <c r="G577" s="267"/>
      <c r="H577" s="267"/>
      <c r="I577" s="287"/>
      <c r="J577" s="288">
        <f t="shared" si="114"/>
        <v>0</v>
      </c>
      <c r="K577" s="276" t="s">
        <v>1087</v>
      </c>
      <c r="L577" s="33">
        <v>1</v>
      </c>
      <c r="M577" s="157" t="s">
        <v>2258</v>
      </c>
      <c r="N577" s="157"/>
      <c r="O577" s="157" t="s">
        <v>533</v>
      </c>
      <c r="P577" s="163" t="s">
        <v>2260</v>
      </c>
    </row>
    <row r="578" s="92" customFormat="1" ht="20.1" customHeight="1" spans="1:16">
      <c r="A578" s="157" t="s">
        <v>2261</v>
      </c>
      <c r="B578" s="36" t="s">
        <v>2262</v>
      </c>
      <c r="C578" s="267">
        <v>2</v>
      </c>
      <c r="D578" s="268">
        <f t="shared" si="118"/>
        <v>3</v>
      </c>
      <c r="E578" s="267"/>
      <c r="F578" s="267"/>
      <c r="G578" s="267"/>
      <c r="H578" s="267"/>
      <c r="I578" s="287">
        <v>3</v>
      </c>
      <c r="J578" s="288">
        <f t="shared" si="114"/>
        <v>150</v>
      </c>
      <c r="K578" s="276" t="s">
        <v>1087</v>
      </c>
      <c r="L578" s="33">
        <v>1</v>
      </c>
      <c r="M578" s="157" t="s">
        <v>2261</v>
      </c>
      <c r="N578" s="157"/>
      <c r="O578" s="157" t="s">
        <v>533</v>
      </c>
      <c r="P578" s="163" t="s">
        <v>2263</v>
      </c>
    </row>
    <row r="579" s="92" customFormat="1" ht="20.1" customHeight="1" spans="1:16">
      <c r="A579" s="157" t="s">
        <v>2264</v>
      </c>
      <c r="B579" s="36" t="s">
        <v>2265</v>
      </c>
      <c r="C579" s="267"/>
      <c r="D579" s="268">
        <f t="shared" si="118"/>
        <v>0</v>
      </c>
      <c r="E579" s="267"/>
      <c r="F579" s="267"/>
      <c r="G579" s="267"/>
      <c r="H579" s="267"/>
      <c r="I579" s="287"/>
      <c r="J579" s="288"/>
      <c r="K579" s="276" t="s">
        <v>1087</v>
      </c>
      <c r="L579" s="33">
        <v>1</v>
      </c>
      <c r="M579" s="157" t="s">
        <v>2264</v>
      </c>
      <c r="N579" s="157"/>
      <c r="O579" s="157" t="s">
        <v>533</v>
      </c>
      <c r="P579" s="119" t="s">
        <v>2266</v>
      </c>
    </row>
    <row r="580" s="92" customFormat="1" ht="20.1" customHeight="1" spans="1:16">
      <c r="A580" s="157" t="s">
        <v>2267</v>
      </c>
      <c r="B580" s="36" t="s">
        <v>2268</v>
      </c>
      <c r="C580" s="267"/>
      <c r="D580" s="268">
        <f t="shared" si="118"/>
        <v>0</v>
      </c>
      <c r="E580" s="267"/>
      <c r="F580" s="267"/>
      <c r="G580" s="267"/>
      <c r="H580" s="267"/>
      <c r="I580" s="287"/>
      <c r="J580" s="288"/>
      <c r="K580" s="276" t="s">
        <v>1087</v>
      </c>
      <c r="L580" s="33">
        <v>1</v>
      </c>
      <c r="M580" s="157" t="s">
        <v>2267</v>
      </c>
      <c r="N580" s="157"/>
      <c r="O580" s="157" t="s">
        <v>533</v>
      </c>
      <c r="P580" s="119" t="s">
        <v>2269</v>
      </c>
    </row>
    <row r="581" s="92" customFormat="1" ht="20.1" customHeight="1" spans="1:16">
      <c r="A581" s="157" t="s">
        <v>2270</v>
      </c>
      <c r="B581" s="36" t="s">
        <v>2271</v>
      </c>
      <c r="C581" s="267"/>
      <c r="D581" s="268">
        <f t="shared" si="118"/>
        <v>0</v>
      </c>
      <c r="E581" s="267"/>
      <c r="F581" s="267"/>
      <c r="G581" s="267"/>
      <c r="H581" s="267"/>
      <c r="I581" s="287"/>
      <c r="J581" s="288"/>
      <c r="K581" s="276" t="s">
        <v>1087</v>
      </c>
      <c r="L581" s="33">
        <v>1</v>
      </c>
      <c r="M581" s="157" t="s">
        <v>2270</v>
      </c>
      <c r="N581" s="157"/>
      <c r="O581" s="157" t="s">
        <v>533</v>
      </c>
      <c r="P581" s="119" t="s">
        <v>2272</v>
      </c>
    </row>
    <row r="582" s="92" customFormat="1" ht="20.1" customHeight="1" spans="1:16">
      <c r="A582" s="157" t="s">
        <v>2273</v>
      </c>
      <c r="B582" s="36" t="s">
        <v>2274</v>
      </c>
      <c r="C582" s="267"/>
      <c r="D582" s="268">
        <f t="shared" si="118"/>
        <v>0</v>
      </c>
      <c r="E582" s="267"/>
      <c r="F582" s="267"/>
      <c r="G582" s="267"/>
      <c r="H582" s="267"/>
      <c r="I582" s="287"/>
      <c r="J582" s="288"/>
      <c r="K582" s="276" t="s">
        <v>1087</v>
      </c>
      <c r="L582" s="33">
        <v>1</v>
      </c>
      <c r="M582" s="157" t="s">
        <v>2273</v>
      </c>
      <c r="N582" s="157"/>
      <c r="O582" s="157" t="s">
        <v>533</v>
      </c>
      <c r="P582" s="119" t="s">
        <v>2275</v>
      </c>
    </row>
    <row r="583" s="92" customFormat="1" ht="20.1" customHeight="1" spans="1:16">
      <c r="A583" s="157" t="s">
        <v>2276</v>
      </c>
      <c r="B583" s="36" t="s">
        <v>1114</v>
      </c>
      <c r="C583" s="267">
        <v>14</v>
      </c>
      <c r="D583" s="268">
        <f t="shared" si="118"/>
        <v>13</v>
      </c>
      <c r="E583" s="267"/>
      <c r="F583" s="267"/>
      <c r="G583" s="267"/>
      <c r="H583" s="267"/>
      <c r="I583" s="287">
        <v>13</v>
      </c>
      <c r="J583" s="288"/>
      <c r="K583" s="276" t="s">
        <v>1087</v>
      </c>
      <c r="L583" s="33">
        <v>1</v>
      </c>
      <c r="M583" s="157" t="s">
        <v>2276</v>
      </c>
      <c r="N583" s="157"/>
      <c r="O583" s="157" t="s">
        <v>533</v>
      </c>
      <c r="P583" s="163" t="s">
        <v>1115</v>
      </c>
    </row>
    <row r="584" s="92" customFormat="1" ht="20.1" customHeight="1" spans="1:16">
      <c r="A584" s="157" t="s">
        <v>2277</v>
      </c>
      <c r="B584" s="36" t="s">
        <v>2278</v>
      </c>
      <c r="C584" s="267">
        <v>2796</v>
      </c>
      <c r="D584" s="268">
        <f t="shared" si="118"/>
        <v>3461</v>
      </c>
      <c r="E584" s="267"/>
      <c r="F584" s="267"/>
      <c r="G584" s="267">
        <v>47</v>
      </c>
      <c r="H584" s="267"/>
      <c r="I584" s="287">
        <v>3414</v>
      </c>
      <c r="J584" s="288">
        <f t="shared" ref="J584:J590" si="119">ROUND(IF(C584=0,IF(D584=0,0,1),IF(D584=0,-1,D584/C584)),4)*100</f>
        <v>123.78</v>
      </c>
      <c r="K584" s="276" t="s">
        <v>1087</v>
      </c>
      <c r="L584" s="33">
        <v>1</v>
      </c>
      <c r="M584" s="157" t="s">
        <v>2277</v>
      </c>
      <c r="N584" s="157"/>
      <c r="O584" s="157" t="s">
        <v>533</v>
      </c>
      <c r="P584" s="163" t="s">
        <v>2279</v>
      </c>
    </row>
    <row r="585" s="93" customFormat="1" ht="20.1" customHeight="1" spans="1:16">
      <c r="A585" s="263" t="s">
        <v>534</v>
      </c>
      <c r="B585" s="297" t="s">
        <v>300</v>
      </c>
      <c r="C585" s="265">
        <f t="shared" ref="C585:I585" si="120">SUM(C586:C593)</f>
        <v>592</v>
      </c>
      <c r="D585" s="265">
        <f t="shared" si="118"/>
        <v>626</v>
      </c>
      <c r="E585" s="265">
        <f t="shared" si="120"/>
        <v>0</v>
      </c>
      <c r="F585" s="265">
        <f t="shared" si="120"/>
        <v>25</v>
      </c>
      <c r="G585" s="265">
        <f t="shared" si="120"/>
        <v>245</v>
      </c>
      <c r="H585" s="265">
        <f t="shared" si="120"/>
        <v>0</v>
      </c>
      <c r="I585" s="265">
        <f t="shared" si="120"/>
        <v>356</v>
      </c>
      <c r="J585" s="298">
        <f t="shared" si="119"/>
        <v>105.74</v>
      </c>
      <c r="K585" s="284" t="s">
        <v>1082</v>
      </c>
      <c r="L585" s="285"/>
      <c r="M585" s="263" t="s">
        <v>534</v>
      </c>
      <c r="N585" s="263" t="s">
        <v>532</v>
      </c>
      <c r="O585" s="263" t="s">
        <v>534</v>
      </c>
      <c r="P585" s="286" t="s">
        <v>2280</v>
      </c>
    </row>
    <row r="586" s="92" customFormat="1" ht="20.1" customHeight="1" spans="1:16">
      <c r="A586" s="157" t="s">
        <v>2281</v>
      </c>
      <c r="B586" s="36" t="s">
        <v>1086</v>
      </c>
      <c r="C586" s="267">
        <v>211</v>
      </c>
      <c r="D586" s="268">
        <f t="shared" si="118"/>
        <v>223</v>
      </c>
      <c r="E586" s="267"/>
      <c r="F586" s="267"/>
      <c r="G586" s="267"/>
      <c r="H586" s="267"/>
      <c r="I586" s="287">
        <v>223</v>
      </c>
      <c r="J586" s="288">
        <f t="shared" si="119"/>
        <v>105.69</v>
      </c>
      <c r="K586" s="276" t="s">
        <v>1087</v>
      </c>
      <c r="L586" s="33">
        <v>1</v>
      </c>
      <c r="M586" s="157" t="s">
        <v>2281</v>
      </c>
      <c r="N586" s="157"/>
      <c r="O586" s="157" t="s">
        <v>534</v>
      </c>
      <c r="P586" s="164" t="s">
        <v>1088</v>
      </c>
    </row>
    <row r="587" s="92" customFormat="1" ht="20.1" customHeight="1" spans="1:16">
      <c r="A587" s="157" t="s">
        <v>2282</v>
      </c>
      <c r="B587" s="36" t="s">
        <v>1090</v>
      </c>
      <c r="C587" s="267"/>
      <c r="D587" s="268">
        <f t="shared" si="118"/>
        <v>0</v>
      </c>
      <c r="E587" s="267"/>
      <c r="F587" s="267"/>
      <c r="G587" s="267"/>
      <c r="H587" s="267"/>
      <c r="I587" s="287"/>
      <c r="J587" s="288">
        <f t="shared" si="119"/>
        <v>0</v>
      </c>
      <c r="K587" s="276" t="s">
        <v>1087</v>
      </c>
      <c r="L587" s="33">
        <v>1</v>
      </c>
      <c r="M587" s="157" t="s">
        <v>2282</v>
      </c>
      <c r="N587" s="157"/>
      <c r="O587" s="157" t="s">
        <v>534</v>
      </c>
      <c r="P587" s="164" t="s">
        <v>1091</v>
      </c>
    </row>
    <row r="588" s="92" customFormat="1" ht="20.1" customHeight="1" spans="1:16">
      <c r="A588" s="157" t="s">
        <v>2283</v>
      </c>
      <c r="B588" s="36" t="s">
        <v>1093</v>
      </c>
      <c r="C588" s="267"/>
      <c r="D588" s="268">
        <f t="shared" si="118"/>
        <v>0</v>
      </c>
      <c r="E588" s="267"/>
      <c r="F588" s="267"/>
      <c r="G588" s="267"/>
      <c r="H588" s="267"/>
      <c r="I588" s="287"/>
      <c r="J588" s="288">
        <f t="shared" si="119"/>
        <v>0</v>
      </c>
      <c r="K588" s="276" t="s">
        <v>1087</v>
      </c>
      <c r="L588" s="33">
        <v>1</v>
      </c>
      <c r="M588" s="157" t="s">
        <v>2283</v>
      </c>
      <c r="N588" s="157"/>
      <c r="O588" s="157" t="s">
        <v>534</v>
      </c>
      <c r="P588" s="164" t="s">
        <v>1094</v>
      </c>
    </row>
    <row r="589" s="92" customFormat="1" ht="20.1" customHeight="1" spans="1:16">
      <c r="A589" s="157" t="s">
        <v>2284</v>
      </c>
      <c r="B589" s="36" t="s">
        <v>2285</v>
      </c>
      <c r="C589" s="267"/>
      <c r="D589" s="268">
        <f t="shared" si="118"/>
        <v>0</v>
      </c>
      <c r="E589" s="267"/>
      <c r="F589" s="267"/>
      <c r="G589" s="267"/>
      <c r="H589" s="267"/>
      <c r="I589" s="287"/>
      <c r="J589" s="288">
        <f t="shared" si="119"/>
        <v>0</v>
      </c>
      <c r="K589" s="276" t="s">
        <v>1087</v>
      </c>
      <c r="L589" s="33">
        <v>1</v>
      </c>
      <c r="M589" s="157" t="s">
        <v>2284</v>
      </c>
      <c r="N589" s="157"/>
      <c r="O589" s="157" t="s">
        <v>534</v>
      </c>
      <c r="P589" s="163" t="s">
        <v>2286</v>
      </c>
    </row>
    <row r="590" s="92" customFormat="1" ht="20.1" customHeight="1" spans="1:16">
      <c r="A590" s="157" t="s">
        <v>2287</v>
      </c>
      <c r="B590" s="36" t="s">
        <v>2288</v>
      </c>
      <c r="C590" s="267">
        <v>8</v>
      </c>
      <c r="D590" s="268">
        <f t="shared" si="118"/>
        <v>14</v>
      </c>
      <c r="E590" s="267"/>
      <c r="F590" s="267"/>
      <c r="G590" s="267">
        <v>14</v>
      </c>
      <c r="H590" s="267"/>
      <c r="I590" s="287"/>
      <c r="J590" s="288">
        <f t="shared" si="119"/>
        <v>175</v>
      </c>
      <c r="K590" s="276" t="s">
        <v>1087</v>
      </c>
      <c r="L590" s="33">
        <v>1</v>
      </c>
      <c r="M590" s="157" t="s">
        <v>2287</v>
      </c>
      <c r="N590" s="157"/>
      <c r="O590" s="157" t="s">
        <v>534</v>
      </c>
      <c r="P590" s="163" t="s">
        <v>2289</v>
      </c>
    </row>
    <row r="591" s="92" customFormat="1" ht="20.1" customHeight="1" spans="1:17">
      <c r="A591" s="157" t="s">
        <v>2290</v>
      </c>
      <c r="B591" s="36" t="s">
        <v>2291</v>
      </c>
      <c r="C591" s="267">
        <v>2</v>
      </c>
      <c r="D591" s="268">
        <f t="shared" si="118"/>
        <v>0</v>
      </c>
      <c r="E591" s="267"/>
      <c r="F591" s="267"/>
      <c r="G591" s="267"/>
      <c r="H591" s="267"/>
      <c r="I591" s="287"/>
      <c r="J591" s="288"/>
      <c r="K591" s="276" t="s">
        <v>1087</v>
      </c>
      <c r="L591" s="33">
        <v>1</v>
      </c>
      <c r="M591" s="157" t="s">
        <v>2290</v>
      </c>
      <c r="N591" s="157"/>
      <c r="O591" s="157" t="s">
        <v>534</v>
      </c>
      <c r="P591" s="163" t="s">
        <v>2292</v>
      </c>
      <c r="Q591" s="295" t="s">
        <v>1513</v>
      </c>
    </row>
    <row r="592" s="92" customFormat="1" ht="20.1" customHeight="1" spans="1:16">
      <c r="A592" s="157" t="s">
        <v>2293</v>
      </c>
      <c r="B592" s="36" t="s">
        <v>2294</v>
      </c>
      <c r="C592" s="267"/>
      <c r="D592" s="268">
        <f t="shared" si="118"/>
        <v>0</v>
      </c>
      <c r="E592" s="267"/>
      <c r="F592" s="267"/>
      <c r="G592" s="267"/>
      <c r="H592" s="267"/>
      <c r="I592" s="287"/>
      <c r="J592" s="288"/>
      <c r="K592" s="276" t="s">
        <v>1087</v>
      </c>
      <c r="L592" s="33">
        <v>1</v>
      </c>
      <c r="M592" s="157" t="s">
        <v>2293</v>
      </c>
      <c r="N592" s="157"/>
      <c r="O592" s="157" t="s">
        <v>534</v>
      </c>
      <c r="P592" s="163" t="s">
        <v>2295</v>
      </c>
    </row>
    <row r="593" s="92" customFormat="1" ht="20.1" customHeight="1" spans="1:16">
      <c r="A593" s="157" t="s">
        <v>2296</v>
      </c>
      <c r="B593" s="36" t="s">
        <v>2297</v>
      </c>
      <c r="C593" s="267">
        <v>371</v>
      </c>
      <c r="D593" s="268">
        <f t="shared" si="118"/>
        <v>389</v>
      </c>
      <c r="E593" s="267"/>
      <c r="F593" s="267">
        <v>25</v>
      </c>
      <c r="G593" s="267">
        <v>231</v>
      </c>
      <c r="H593" s="267"/>
      <c r="I593" s="287">
        <v>133</v>
      </c>
      <c r="J593" s="288">
        <f t="shared" ref="J593:J602" si="121">ROUND(IF(C593=0,IF(D593=0,0,1),IF(D593=0,-1,D593/C593)),4)*100</f>
        <v>104.85</v>
      </c>
      <c r="K593" s="276" t="s">
        <v>1087</v>
      </c>
      <c r="L593" s="33">
        <v>1</v>
      </c>
      <c r="M593" s="157" t="s">
        <v>2296</v>
      </c>
      <c r="N593" s="157"/>
      <c r="O593" s="157" t="s">
        <v>534</v>
      </c>
      <c r="P593" s="163" t="s">
        <v>2298</v>
      </c>
    </row>
    <row r="594" s="93" customFormat="1" ht="20.1" customHeight="1" spans="1:16">
      <c r="A594" s="263" t="s">
        <v>535</v>
      </c>
      <c r="B594" s="297" t="s">
        <v>301</v>
      </c>
      <c r="C594" s="265">
        <f>SUM(C595)</f>
        <v>0</v>
      </c>
      <c r="D594" s="265">
        <f t="shared" si="118"/>
        <v>0</v>
      </c>
      <c r="E594" s="265">
        <f t="shared" ref="E594:H594" si="122">SUM(E595:E595)</f>
        <v>0</v>
      </c>
      <c r="F594" s="265">
        <f t="shared" si="122"/>
        <v>0</v>
      </c>
      <c r="G594" s="265">
        <f>VLOOKUP(A594,[1]√表四、2024年公共财政支出变动表!$A$7:$R$214,18,FALSE)</f>
        <v>0</v>
      </c>
      <c r="H594" s="265">
        <f t="shared" si="122"/>
        <v>0</v>
      </c>
      <c r="I594" s="265"/>
      <c r="J594" s="298">
        <f t="shared" si="121"/>
        <v>0</v>
      </c>
      <c r="K594" s="284" t="s">
        <v>1082</v>
      </c>
      <c r="L594" s="285"/>
      <c r="M594" s="263" t="s">
        <v>535</v>
      </c>
      <c r="N594" s="263" t="s">
        <v>532</v>
      </c>
      <c r="O594" s="263" t="s">
        <v>535</v>
      </c>
      <c r="P594" s="286" t="s">
        <v>2299</v>
      </c>
    </row>
    <row r="595" s="92" customFormat="1" ht="20.1" customHeight="1" spans="1:16">
      <c r="A595" s="157" t="s">
        <v>2300</v>
      </c>
      <c r="B595" s="36" t="s">
        <v>2301</v>
      </c>
      <c r="C595" s="267"/>
      <c r="D595" s="268">
        <f t="shared" si="118"/>
        <v>0</v>
      </c>
      <c r="E595" s="267"/>
      <c r="F595" s="267"/>
      <c r="G595" s="267"/>
      <c r="H595" s="267"/>
      <c r="I595" s="287"/>
      <c r="J595" s="288">
        <f t="shared" si="121"/>
        <v>0</v>
      </c>
      <c r="K595" s="276" t="s">
        <v>1087</v>
      </c>
      <c r="L595" s="33">
        <v>1</v>
      </c>
      <c r="M595" s="157" t="s">
        <v>2300</v>
      </c>
      <c r="N595" s="157"/>
      <c r="O595" s="157" t="s">
        <v>535</v>
      </c>
      <c r="P595" s="163" t="s">
        <v>2302</v>
      </c>
    </row>
    <row r="596" s="93" customFormat="1" ht="20.1" customHeight="1" spans="1:16">
      <c r="A596" s="263" t="s">
        <v>536</v>
      </c>
      <c r="B596" s="297" t="s">
        <v>537</v>
      </c>
      <c r="C596" s="265">
        <f t="shared" ref="C596:I596" si="123">SUM(C597:C604)</f>
        <v>24162</v>
      </c>
      <c r="D596" s="265">
        <f t="shared" si="118"/>
        <v>28797</v>
      </c>
      <c r="E596" s="265">
        <f t="shared" si="123"/>
        <v>2473</v>
      </c>
      <c r="F596" s="265">
        <f t="shared" si="123"/>
        <v>0</v>
      </c>
      <c r="G596" s="265">
        <f t="shared" si="123"/>
        <v>0</v>
      </c>
      <c r="H596" s="265">
        <f t="shared" si="123"/>
        <v>1000</v>
      </c>
      <c r="I596" s="265">
        <f t="shared" si="123"/>
        <v>25324</v>
      </c>
      <c r="J596" s="298">
        <f t="shared" si="121"/>
        <v>119.18</v>
      </c>
      <c r="K596" s="284" t="s">
        <v>1082</v>
      </c>
      <c r="L596" s="285"/>
      <c r="M596" s="263" t="s">
        <v>536</v>
      </c>
      <c r="N596" s="263" t="s">
        <v>532</v>
      </c>
      <c r="O596" s="263" t="s">
        <v>536</v>
      </c>
      <c r="P596" s="286" t="s">
        <v>2303</v>
      </c>
    </row>
    <row r="597" s="92" customFormat="1" ht="20.1" customHeight="1" spans="1:16">
      <c r="A597" s="157" t="s">
        <v>2304</v>
      </c>
      <c r="B597" s="36" t="s">
        <v>2305</v>
      </c>
      <c r="C597" s="267">
        <v>313</v>
      </c>
      <c r="D597" s="268">
        <f t="shared" si="118"/>
        <v>1785</v>
      </c>
      <c r="E597" s="267"/>
      <c r="F597" s="267"/>
      <c r="G597" s="267"/>
      <c r="H597" s="267">
        <v>35</v>
      </c>
      <c r="I597" s="287">
        <v>1750</v>
      </c>
      <c r="J597" s="288">
        <f t="shared" si="121"/>
        <v>570.29</v>
      </c>
      <c r="K597" s="276" t="s">
        <v>1087</v>
      </c>
      <c r="L597" s="33">
        <v>1</v>
      </c>
      <c r="M597" s="157" t="s">
        <v>2304</v>
      </c>
      <c r="N597" s="157"/>
      <c r="O597" s="157" t="s">
        <v>536</v>
      </c>
      <c r="P597" s="119" t="s">
        <v>2306</v>
      </c>
    </row>
    <row r="598" s="92" customFormat="1" ht="20.1" customHeight="1" spans="1:16">
      <c r="A598" s="157" t="s">
        <v>2307</v>
      </c>
      <c r="B598" s="36" t="s">
        <v>2308</v>
      </c>
      <c r="C598" s="267">
        <v>1098</v>
      </c>
      <c r="D598" s="268">
        <f t="shared" si="118"/>
        <v>3707</v>
      </c>
      <c r="E598" s="267"/>
      <c r="F598" s="267"/>
      <c r="G598" s="267"/>
      <c r="H598" s="267"/>
      <c r="I598" s="287">
        <v>3707</v>
      </c>
      <c r="J598" s="288">
        <f t="shared" si="121"/>
        <v>337.61</v>
      </c>
      <c r="K598" s="276" t="s">
        <v>1087</v>
      </c>
      <c r="L598" s="33">
        <v>1</v>
      </c>
      <c r="M598" s="157" t="s">
        <v>2307</v>
      </c>
      <c r="N598" s="157"/>
      <c r="O598" s="157" t="s">
        <v>536</v>
      </c>
      <c r="P598" s="119" t="s">
        <v>2309</v>
      </c>
    </row>
    <row r="599" s="92" customFormat="1" ht="20.1" customHeight="1" spans="1:16">
      <c r="A599" s="157" t="s">
        <v>2310</v>
      </c>
      <c r="B599" s="36" t="s">
        <v>2311</v>
      </c>
      <c r="C599" s="267"/>
      <c r="D599" s="268">
        <f t="shared" si="118"/>
        <v>0</v>
      </c>
      <c r="E599" s="267"/>
      <c r="F599" s="267"/>
      <c r="G599" s="267"/>
      <c r="H599" s="267"/>
      <c r="I599" s="287"/>
      <c r="J599" s="288">
        <f t="shared" si="121"/>
        <v>0</v>
      </c>
      <c r="K599" s="276" t="s">
        <v>1087</v>
      </c>
      <c r="L599" s="33">
        <v>1</v>
      </c>
      <c r="M599" s="157" t="s">
        <v>2310</v>
      </c>
      <c r="N599" s="157"/>
      <c r="O599" s="157" t="s">
        <v>536</v>
      </c>
      <c r="P599" s="119" t="s">
        <v>2312</v>
      </c>
    </row>
    <row r="600" s="92" customFormat="1" ht="20.1" customHeight="1" spans="1:16">
      <c r="A600" s="157" t="s">
        <v>2313</v>
      </c>
      <c r="B600" s="36" t="s">
        <v>2314</v>
      </c>
      <c r="C600" s="267">
        <v>8826</v>
      </c>
      <c r="D600" s="268">
        <f t="shared" si="118"/>
        <v>11295</v>
      </c>
      <c r="E600" s="267"/>
      <c r="F600" s="267"/>
      <c r="G600" s="267"/>
      <c r="H600" s="267"/>
      <c r="I600" s="287">
        <v>11295</v>
      </c>
      <c r="J600" s="288">
        <f t="shared" si="121"/>
        <v>127.97</v>
      </c>
      <c r="K600" s="276" t="s">
        <v>1087</v>
      </c>
      <c r="L600" s="33">
        <v>1</v>
      </c>
      <c r="M600" s="157" t="s">
        <v>2313</v>
      </c>
      <c r="N600" s="157"/>
      <c r="O600" s="157" t="s">
        <v>536</v>
      </c>
      <c r="P600" s="163" t="s">
        <v>2315</v>
      </c>
    </row>
    <row r="601" s="92" customFormat="1" ht="20.1" customHeight="1" spans="1:16">
      <c r="A601" s="157" t="s">
        <v>2316</v>
      </c>
      <c r="B601" s="36" t="s">
        <v>2317</v>
      </c>
      <c r="C601" s="267">
        <v>6065</v>
      </c>
      <c r="D601" s="268">
        <f t="shared" si="118"/>
        <v>3504</v>
      </c>
      <c r="E601" s="267"/>
      <c r="F601" s="267"/>
      <c r="G601" s="267"/>
      <c r="H601" s="267">
        <v>965</v>
      </c>
      <c r="I601" s="287">
        <v>2539</v>
      </c>
      <c r="J601" s="288">
        <f t="shared" si="121"/>
        <v>57.77</v>
      </c>
      <c r="K601" s="276" t="s">
        <v>1087</v>
      </c>
      <c r="L601" s="33">
        <v>1</v>
      </c>
      <c r="M601" s="157" t="s">
        <v>2316</v>
      </c>
      <c r="N601" s="157"/>
      <c r="O601" s="157" t="s">
        <v>536</v>
      </c>
      <c r="P601" s="163" t="s">
        <v>2318</v>
      </c>
    </row>
    <row r="602" s="92" customFormat="1" ht="20.1" customHeight="1" spans="1:16">
      <c r="A602" s="157" t="s">
        <v>2319</v>
      </c>
      <c r="B602" s="36" t="s">
        <v>2320</v>
      </c>
      <c r="C602" s="267">
        <v>7858</v>
      </c>
      <c r="D602" s="268">
        <f t="shared" si="118"/>
        <v>8506</v>
      </c>
      <c r="E602" s="267">
        <v>2473</v>
      </c>
      <c r="F602" s="267"/>
      <c r="G602" s="267"/>
      <c r="H602" s="267"/>
      <c r="I602" s="287">
        <v>6033</v>
      </c>
      <c r="J602" s="288">
        <f t="shared" si="121"/>
        <v>108.25</v>
      </c>
      <c r="K602" s="276" t="s">
        <v>1087</v>
      </c>
      <c r="L602" s="33">
        <v>1</v>
      </c>
      <c r="M602" s="157" t="s">
        <v>2319</v>
      </c>
      <c r="N602" s="157"/>
      <c r="O602" s="157" t="s">
        <v>536</v>
      </c>
      <c r="P602" s="163" t="s">
        <v>2321</v>
      </c>
    </row>
    <row r="603" s="92" customFormat="1" ht="20.1" customHeight="1" spans="1:16">
      <c r="A603" s="157" t="s">
        <v>2322</v>
      </c>
      <c r="B603" s="36" t="s">
        <v>2323</v>
      </c>
      <c r="C603" s="267"/>
      <c r="D603" s="268">
        <f t="shared" si="118"/>
        <v>0</v>
      </c>
      <c r="E603" s="267"/>
      <c r="F603" s="267"/>
      <c r="G603" s="267"/>
      <c r="H603" s="267"/>
      <c r="I603" s="287"/>
      <c r="J603" s="288"/>
      <c r="K603" s="276" t="s">
        <v>1087</v>
      </c>
      <c r="L603" s="33">
        <v>1</v>
      </c>
      <c r="M603" s="157" t="s">
        <v>2322</v>
      </c>
      <c r="N603" s="157"/>
      <c r="O603" s="157" t="s">
        <v>536</v>
      </c>
      <c r="P603" s="163" t="s">
        <v>2324</v>
      </c>
    </row>
    <row r="604" s="92" customFormat="1" ht="20.1" customHeight="1" spans="1:16">
      <c r="A604" s="157" t="s">
        <v>2325</v>
      </c>
      <c r="B604" s="36" t="s">
        <v>2326</v>
      </c>
      <c r="C604" s="267">
        <v>2</v>
      </c>
      <c r="D604" s="268">
        <f t="shared" si="118"/>
        <v>0</v>
      </c>
      <c r="E604" s="267"/>
      <c r="F604" s="267"/>
      <c r="G604" s="267"/>
      <c r="H604" s="267"/>
      <c r="I604" s="287"/>
      <c r="J604" s="288">
        <f t="shared" ref="J604:J624" si="124">ROUND(IF(C604=0,IF(D604=0,0,1),IF(D604=0,-1,D604/C604)),4)*100</f>
        <v>-100</v>
      </c>
      <c r="K604" s="276" t="s">
        <v>1087</v>
      </c>
      <c r="L604" s="33">
        <v>1</v>
      </c>
      <c r="M604" s="157" t="s">
        <v>2325</v>
      </c>
      <c r="N604" s="157"/>
      <c r="O604" s="157" t="s">
        <v>536</v>
      </c>
      <c r="P604" s="119" t="s">
        <v>2327</v>
      </c>
    </row>
    <row r="605" s="93" customFormat="1" ht="20.1" customHeight="1" spans="1:16">
      <c r="A605" s="263" t="s">
        <v>538</v>
      </c>
      <c r="B605" s="297" t="s">
        <v>303</v>
      </c>
      <c r="C605" s="265">
        <v>0</v>
      </c>
      <c r="D605" s="265">
        <f t="shared" si="118"/>
        <v>0</v>
      </c>
      <c r="E605" s="265">
        <f t="shared" ref="E605:H605" si="125">SUM(E606:E608)</f>
        <v>0</v>
      </c>
      <c r="F605" s="265">
        <f t="shared" si="125"/>
        <v>0</v>
      </c>
      <c r="G605" s="265">
        <f>VLOOKUP(A605,[1]√表四、2024年公共财政支出变动表!$A$7:$R$214,18,FALSE)</f>
        <v>0</v>
      </c>
      <c r="H605" s="265">
        <f t="shared" si="125"/>
        <v>0</v>
      </c>
      <c r="I605" s="265"/>
      <c r="J605" s="298">
        <f t="shared" si="124"/>
        <v>0</v>
      </c>
      <c r="K605" s="284" t="s">
        <v>1082</v>
      </c>
      <c r="L605" s="285"/>
      <c r="M605" s="263" t="s">
        <v>538</v>
      </c>
      <c r="N605" s="263" t="s">
        <v>532</v>
      </c>
      <c r="O605" s="263" t="s">
        <v>538</v>
      </c>
      <c r="P605" s="286" t="s">
        <v>2328</v>
      </c>
    </row>
    <row r="606" s="92" customFormat="1" ht="20.1" customHeight="1" spans="1:16">
      <c r="A606" s="157" t="s">
        <v>2329</v>
      </c>
      <c r="B606" s="36" t="s">
        <v>2330</v>
      </c>
      <c r="C606" s="267">
        <v>0</v>
      </c>
      <c r="D606" s="268">
        <f t="shared" si="118"/>
        <v>0</v>
      </c>
      <c r="E606" s="267"/>
      <c r="F606" s="267"/>
      <c r="G606" s="267"/>
      <c r="H606" s="267"/>
      <c r="I606" s="287"/>
      <c r="J606" s="288">
        <f t="shared" si="124"/>
        <v>0</v>
      </c>
      <c r="K606" s="276" t="s">
        <v>1087</v>
      </c>
      <c r="L606" s="33">
        <v>1</v>
      </c>
      <c r="M606" s="157" t="s">
        <v>2329</v>
      </c>
      <c r="N606" s="157"/>
      <c r="O606" s="157" t="s">
        <v>538</v>
      </c>
      <c r="P606" s="163" t="s">
        <v>2331</v>
      </c>
    </row>
    <row r="607" s="92" customFormat="1" ht="20.1" customHeight="1" spans="1:16">
      <c r="A607" s="157" t="s">
        <v>2332</v>
      </c>
      <c r="B607" s="36" t="s">
        <v>2333</v>
      </c>
      <c r="C607" s="267">
        <v>0</v>
      </c>
      <c r="D607" s="268">
        <f t="shared" si="118"/>
        <v>0</v>
      </c>
      <c r="E607" s="267"/>
      <c r="F607" s="267"/>
      <c r="G607" s="267"/>
      <c r="H607" s="267"/>
      <c r="I607" s="287"/>
      <c r="J607" s="288">
        <f t="shared" si="124"/>
        <v>0</v>
      </c>
      <c r="K607" s="276" t="s">
        <v>1087</v>
      </c>
      <c r="L607" s="33">
        <v>1</v>
      </c>
      <c r="M607" s="157" t="s">
        <v>2332</v>
      </c>
      <c r="N607" s="157"/>
      <c r="O607" s="157" t="s">
        <v>538</v>
      </c>
      <c r="P607" s="163" t="s">
        <v>2334</v>
      </c>
    </row>
    <row r="608" s="92" customFormat="1" ht="20.1" customHeight="1" spans="1:16">
      <c r="A608" s="157" t="s">
        <v>2335</v>
      </c>
      <c r="B608" s="36" t="s">
        <v>2336</v>
      </c>
      <c r="C608" s="267">
        <v>0</v>
      </c>
      <c r="D608" s="268">
        <f t="shared" si="118"/>
        <v>0</v>
      </c>
      <c r="E608" s="267"/>
      <c r="F608" s="267"/>
      <c r="G608" s="267"/>
      <c r="H608" s="267"/>
      <c r="I608" s="287"/>
      <c r="J608" s="288">
        <f t="shared" si="124"/>
        <v>0</v>
      </c>
      <c r="K608" s="276" t="s">
        <v>1087</v>
      </c>
      <c r="L608" s="33">
        <v>1</v>
      </c>
      <c r="M608" s="157" t="s">
        <v>2335</v>
      </c>
      <c r="N608" s="157"/>
      <c r="O608" s="157" t="s">
        <v>538</v>
      </c>
      <c r="P608" s="163" t="s">
        <v>2337</v>
      </c>
    </row>
    <row r="609" s="93" customFormat="1" ht="20.1" customHeight="1" spans="1:16">
      <c r="A609" s="263" t="s">
        <v>539</v>
      </c>
      <c r="B609" s="297" t="s">
        <v>304</v>
      </c>
      <c r="C609" s="265">
        <f t="shared" ref="C609:I609" si="126">SUM(C610:C618)</f>
        <v>1561</v>
      </c>
      <c r="D609" s="265">
        <f t="shared" si="118"/>
        <v>1744</v>
      </c>
      <c r="E609" s="265">
        <f t="shared" si="126"/>
        <v>1188</v>
      </c>
      <c r="F609" s="265">
        <f t="shared" si="126"/>
        <v>0</v>
      </c>
      <c r="G609" s="265">
        <f t="shared" si="126"/>
        <v>556</v>
      </c>
      <c r="H609" s="265">
        <f t="shared" si="126"/>
        <v>0</v>
      </c>
      <c r="I609" s="265">
        <f t="shared" si="126"/>
        <v>0</v>
      </c>
      <c r="J609" s="298">
        <f t="shared" si="124"/>
        <v>111.72</v>
      </c>
      <c r="K609" s="284" t="s">
        <v>1082</v>
      </c>
      <c r="L609" s="285"/>
      <c r="M609" s="263" t="s">
        <v>539</v>
      </c>
      <c r="N609" s="263" t="s">
        <v>532</v>
      </c>
      <c r="O609" s="263" t="s">
        <v>539</v>
      </c>
      <c r="P609" s="286" t="s">
        <v>2338</v>
      </c>
    </row>
    <row r="610" s="92" customFormat="1" ht="20.1" customHeight="1" spans="1:16">
      <c r="A610" s="157" t="s">
        <v>2339</v>
      </c>
      <c r="B610" s="36" t="s">
        <v>2340</v>
      </c>
      <c r="C610" s="267"/>
      <c r="D610" s="268">
        <f t="shared" si="118"/>
        <v>0</v>
      </c>
      <c r="E610" s="267"/>
      <c r="F610" s="267"/>
      <c r="G610" s="267"/>
      <c r="H610" s="267"/>
      <c r="I610" s="287"/>
      <c r="J610" s="288">
        <f t="shared" si="124"/>
        <v>0</v>
      </c>
      <c r="K610" s="276" t="s">
        <v>1087</v>
      </c>
      <c r="L610" s="33">
        <v>1</v>
      </c>
      <c r="M610" s="157" t="s">
        <v>2339</v>
      </c>
      <c r="N610" s="157"/>
      <c r="O610" s="157" t="s">
        <v>539</v>
      </c>
      <c r="P610" s="163" t="s">
        <v>2341</v>
      </c>
    </row>
    <row r="611" s="92" customFormat="1" ht="20.1" customHeight="1" spans="1:16">
      <c r="A611" s="157" t="s">
        <v>2342</v>
      </c>
      <c r="B611" s="36" t="s">
        <v>2343</v>
      </c>
      <c r="C611" s="267">
        <v>10</v>
      </c>
      <c r="D611" s="268">
        <f t="shared" si="118"/>
        <v>410</v>
      </c>
      <c r="E611" s="267">
        <v>166</v>
      </c>
      <c r="F611" s="267"/>
      <c r="G611" s="267">
        <v>244</v>
      </c>
      <c r="H611" s="267"/>
      <c r="I611" s="287"/>
      <c r="J611" s="288">
        <f t="shared" si="124"/>
        <v>4100</v>
      </c>
      <c r="K611" s="276" t="s">
        <v>1087</v>
      </c>
      <c r="L611" s="33">
        <v>1</v>
      </c>
      <c r="M611" s="157" t="s">
        <v>2342</v>
      </c>
      <c r="N611" s="157"/>
      <c r="O611" s="157" t="s">
        <v>539</v>
      </c>
      <c r="P611" s="163" t="s">
        <v>2344</v>
      </c>
    </row>
    <row r="612" s="92" customFormat="1" ht="20.1" customHeight="1" spans="1:16">
      <c r="A612" s="157" t="s">
        <v>2345</v>
      </c>
      <c r="B612" s="36" t="s">
        <v>2346</v>
      </c>
      <c r="C612" s="267">
        <v>173</v>
      </c>
      <c r="D612" s="268">
        <f t="shared" si="118"/>
        <v>145</v>
      </c>
      <c r="E612" s="267">
        <v>144</v>
      </c>
      <c r="F612" s="267"/>
      <c r="G612" s="267">
        <v>1</v>
      </c>
      <c r="H612" s="267"/>
      <c r="I612" s="287"/>
      <c r="J612" s="288">
        <f t="shared" si="124"/>
        <v>83.82</v>
      </c>
      <c r="K612" s="276" t="s">
        <v>1087</v>
      </c>
      <c r="L612" s="33">
        <v>1</v>
      </c>
      <c r="M612" s="157" t="s">
        <v>2345</v>
      </c>
      <c r="N612" s="157"/>
      <c r="O612" s="157" t="s">
        <v>539</v>
      </c>
      <c r="P612" s="163" t="s">
        <v>2347</v>
      </c>
    </row>
    <row r="613" s="92" customFormat="1" ht="20.1" customHeight="1" spans="1:16">
      <c r="A613" s="157" t="s">
        <v>2348</v>
      </c>
      <c r="B613" s="36" t="s">
        <v>2349</v>
      </c>
      <c r="C613" s="267">
        <v>1098</v>
      </c>
      <c r="D613" s="268">
        <f t="shared" si="118"/>
        <v>487</v>
      </c>
      <c r="E613" s="267">
        <v>479</v>
      </c>
      <c r="F613" s="267"/>
      <c r="G613" s="267">
        <v>8</v>
      </c>
      <c r="H613" s="267"/>
      <c r="I613" s="287"/>
      <c r="J613" s="288">
        <f t="shared" si="124"/>
        <v>44.35</v>
      </c>
      <c r="K613" s="276" t="s">
        <v>1087</v>
      </c>
      <c r="L613" s="33">
        <v>1</v>
      </c>
      <c r="M613" s="157" t="s">
        <v>2348</v>
      </c>
      <c r="N613" s="157"/>
      <c r="O613" s="157" t="s">
        <v>539</v>
      </c>
      <c r="P613" s="163" t="s">
        <v>2350</v>
      </c>
    </row>
    <row r="614" s="92" customFormat="1" ht="20.1" customHeight="1" spans="1:16">
      <c r="A614" s="157" t="s">
        <v>2351</v>
      </c>
      <c r="B614" s="36" t="s">
        <v>2352</v>
      </c>
      <c r="C614" s="267"/>
      <c r="D614" s="268">
        <f t="shared" si="118"/>
        <v>0</v>
      </c>
      <c r="E614" s="267"/>
      <c r="F614" s="267"/>
      <c r="G614" s="267"/>
      <c r="H614" s="267"/>
      <c r="I614" s="287"/>
      <c r="J614" s="288">
        <f t="shared" si="124"/>
        <v>0</v>
      </c>
      <c r="K614" s="276" t="s">
        <v>1087</v>
      </c>
      <c r="L614" s="33">
        <v>1</v>
      </c>
      <c r="M614" s="157" t="s">
        <v>2351</v>
      </c>
      <c r="N614" s="157"/>
      <c r="O614" s="157" t="s">
        <v>539</v>
      </c>
      <c r="P614" s="163" t="s">
        <v>2353</v>
      </c>
    </row>
    <row r="615" s="92" customFormat="1" ht="20.1" customHeight="1" spans="1:16">
      <c r="A615" s="157" t="s">
        <v>2354</v>
      </c>
      <c r="B615" s="36" t="s">
        <v>2355</v>
      </c>
      <c r="C615" s="267"/>
      <c r="D615" s="268">
        <f t="shared" si="118"/>
        <v>161</v>
      </c>
      <c r="E615" s="267">
        <v>161</v>
      </c>
      <c r="F615" s="267"/>
      <c r="G615" s="267"/>
      <c r="H615" s="267"/>
      <c r="I615" s="287"/>
      <c r="J615" s="288">
        <f t="shared" si="124"/>
        <v>100</v>
      </c>
      <c r="K615" s="276" t="s">
        <v>1087</v>
      </c>
      <c r="L615" s="33">
        <v>1</v>
      </c>
      <c r="M615" s="157" t="s">
        <v>2354</v>
      </c>
      <c r="N615" s="157"/>
      <c r="O615" s="157" t="s">
        <v>539</v>
      </c>
      <c r="P615" s="163" t="s">
        <v>2356</v>
      </c>
    </row>
    <row r="616" s="92" customFormat="1" ht="20.1" customHeight="1" spans="1:16">
      <c r="A616" s="157" t="s">
        <v>2357</v>
      </c>
      <c r="B616" s="36" t="s">
        <v>2358</v>
      </c>
      <c r="C616" s="267"/>
      <c r="D616" s="268">
        <f t="shared" si="118"/>
        <v>0</v>
      </c>
      <c r="E616" s="267"/>
      <c r="F616" s="267"/>
      <c r="G616" s="267"/>
      <c r="H616" s="267"/>
      <c r="I616" s="287"/>
      <c r="J616" s="288">
        <f t="shared" si="124"/>
        <v>0</v>
      </c>
      <c r="K616" s="276" t="s">
        <v>1087</v>
      </c>
      <c r="L616" s="33">
        <v>1</v>
      </c>
      <c r="M616" s="157" t="s">
        <v>2357</v>
      </c>
      <c r="N616" s="157"/>
      <c r="O616" s="157" t="s">
        <v>539</v>
      </c>
      <c r="P616" s="163" t="s">
        <v>2359</v>
      </c>
    </row>
    <row r="617" s="92" customFormat="1" ht="20.1" customHeight="1" spans="1:16">
      <c r="A617" s="157" t="s">
        <v>2360</v>
      </c>
      <c r="B617" s="36" t="s">
        <v>2361</v>
      </c>
      <c r="C617" s="267"/>
      <c r="D617" s="268">
        <f t="shared" si="118"/>
        <v>0</v>
      </c>
      <c r="E617" s="267"/>
      <c r="F617" s="267"/>
      <c r="G617" s="267"/>
      <c r="H617" s="267"/>
      <c r="I617" s="287"/>
      <c r="J617" s="288">
        <f t="shared" si="124"/>
        <v>0</v>
      </c>
      <c r="K617" s="276" t="s">
        <v>1087</v>
      </c>
      <c r="L617" s="33">
        <v>1</v>
      </c>
      <c r="M617" s="157" t="s">
        <v>2360</v>
      </c>
      <c r="N617" s="157"/>
      <c r="O617" s="157" t="s">
        <v>539</v>
      </c>
      <c r="P617" s="163" t="s">
        <v>2362</v>
      </c>
    </row>
    <row r="618" s="92" customFormat="1" ht="20.1" customHeight="1" spans="1:16">
      <c r="A618" s="157" t="s">
        <v>2363</v>
      </c>
      <c r="B618" s="36" t="s">
        <v>2364</v>
      </c>
      <c r="C618" s="267">
        <v>280</v>
      </c>
      <c r="D618" s="268">
        <f t="shared" si="118"/>
        <v>541</v>
      </c>
      <c r="E618" s="267">
        <v>238</v>
      </c>
      <c r="F618" s="267"/>
      <c r="G618" s="267">
        <v>303</v>
      </c>
      <c r="H618" s="267"/>
      <c r="I618" s="287"/>
      <c r="J618" s="288">
        <f t="shared" si="124"/>
        <v>193.21</v>
      </c>
      <c r="K618" s="276" t="s">
        <v>1087</v>
      </c>
      <c r="L618" s="33">
        <v>1</v>
      </c>
      <c r="M618" s="157" t="s">
        <v>2363</v>
      </c>
      <c r="N618" s="157"/>
      <c r="O618" s="157" t="s">
        <v>539</v>
      </c>
      <c r="P618" s="163" t="s">
        <v>2365</v>
      </c>
    </row>
    <row r="619" s="93" customFormat="1" ht="20.1" customHeight="1" spans="1:16">
      <c r="A619" s="263" t="s">
        <v>540</v>
      </c>
      <c r="B619" s="297" t="s">
        <v>305</v>
      </c>
      <c r="C619" s="265">
        <f t="shared" ref="C619:I619" si="127">SUM(C620:C627)</f>
        <v>2131</v>
      </c>
      <c r="D619" s="265">
        <f t="shared" si="118"/>
        <v>2176</v>
      </c>
      <c r="E619" s="265">
        <f t="shared" si="127"/>
        <v>1750</v>
      </c>
      <c r="F619" s="265">
        <f t="shared" si="127"/>
        <v>0</v>
      </c>
      <c r="G619" s="265">
        <f t="shared" si="127"/>
        <v>49</v>
      </c>
      <c r="H619" s="265">
        <f t="shared" si="127"/>
        <v>0</v>
      </c>
      <c r="I619" s="265">
        <f t="shared" si="127"/>
        <v>377</v>
      </c>
      <c r="J619" s="298">
        <f t="shared" si="124"/>
        <v>102.11</v>
      </c>
      <c r="K619" s="284" t="s">
        <v>1082</v>
      </c>
      <c r="L619" s="285"/>
      <c r="M619" s="263" t="s">
        <v>540</v>
      </c>
      <c r="N619" s="263" t="s">
        <v>532</v>
      </c>
      <c r="O619" s="263" t="s">
        <v>540</v>
      </c>
      <c r="P619" s="286" t="s">
        <v>2366</v>
      </c>
    </row>
    <row r="620" s="92" customFormat="1" ht="20.1" customHeight="1" spans="1:16">
      <c r="A620" s="157" t="s">
        <v>2367</v>
      </c>
      <c r="B620" s="36" t="s">
        <v>2368</v>
      </c>
      <c r="C620" s="267">
        <v>179</v>
      </c>
      <c r="D620" s="268">
        <f t="shared" si="118"/>
        <v>1</v>
      </c>
      <c r="E620" s="267"/>
      <c r="F620" s="267"/>
      <c r="G620" s="267">
        <v>1</v>
      </c>
      <c r="H620" s="267"/>
      <c r="I620" s="287"/>
      <c r="J620" s="288">
        <f t="shared" si="124"/>
        <v>0.56</v>
      </c>
      <c r="K620" s="276" t="s">
        <v>1087</v>
      </c>
      <c r="L620" s="33">
        <v>1</v>
      </c>
      <c r="M620" s="157" t="s">
        <v>2367</v>
      </c>
      <c r="N620" s="157"/>
      <c r="O620" s="157" t="s">
        <v>540</v>
      </c>
      <c r="P620" s="163" t="s">
        <v>2369</v>
      </c>
    </row>
    <row r="621" s="92" customFormat="1" ht="20.1" customHeight="1" spans="1:16">
      <c r="A621" s="157" t="s">
        <v>2370</v>
      </c>
      <c r="B621" s="36" t="s">
        <v>2371</v>
      </c>
      <c r="C621" s="267">
        <v>197</v>
      </c>
      <c r="D621" s="268">
        <f t="shared" si="118"/>
        <v>11</v>
      </c>
      <c r="E621" s="267"/>
      <c r="F621" s="267"/>
      <c r="G621" s="267">
        <v>7</v>
      </c>
      <c r="H621" s="267"/>
      <c r="I621" s="287">
        <v>4</v>
      </c>
      <c r="J621" s="288">
        <f t="shared" si="124"/>
        <v>5.58</v>
      </c>
      <c r="K621" s="276" t="s">
        <v>1087</v>
      </c>
      <c r="L621" s="33">
        <v>1</v>
      </c>
      <c r="M621" s="157" t="s">
        <v>2370</v>
      </c>
      <c r="N621" s="157"/>
      <c r="O621" s="157" t="s">
        <v>540</v>
      </c>
      <c r="P621" s="163" t="s">
        <v>2372</v>
      </c>
    </row>
    <row r="622" s="92" customFormat="1" ht="20.1" customHeight="1" spans="1:16">
      <c r="A622" s="157" t="s">
        <v>2373</v>
      </c>
      <c r="B622" s="36" t="s">
        <v>2374</v>
      </c>
      <c r="C622" s="267">
        <v>1038</v>
      </c>
      <c r="D622" s="268">
        <f t="shared" si="118"/>
        <v>60</v>
      </c>
      <c r="E622" s="267"/>
      <c r="F622" s="267"/>
      <c r="G622" s="267">
        <v>24</v>
      </c>
      <c r="H622" s="267"/>
      <c r="I622" s="287">
        <v>36</v>
      </c>
      <c r="J622" s="288">
        <f t="shared" si="124"/>
        <v>5.78</v>
      </c>
      <c r="K622" s="276" t="s">
        <v>1087</v>
      </c>
      <c r="L622" s="33">
        <v>1</v>
      </c>
      <c r="M622" s="157" t="s">
        <v>2373</v>
      </c>
      <c r="N622" s="157"/>
      <c r="O622" s="157" t="s">
        <v>540</v>
      </c>
      <c r="P622" s="163" t="s">
        <v>2375</v>
      </c>
    </row>
    <row r="623" s="92" customFormat="1" ht="20.1" customHeight="1" spans="1:16">
      <c r="A623" s="157" t="s">
        <v>2376</v>
      </c>
      <c r="B623" s="36" t="s">
        <v>2377</v>
      </c>
      <c r="C623" s="267">
        <v>386</v>
      </c>
      <c r="D623" s="268">
        <f t="shared" si="118"/>
        <v>531</v>
      </c>
      <c r="E623" s="267">
        <v>291</v>
      </c>
      <c r="F623" s="267"/>
      <c r="G623" s="267">
        <v>9</v>
      </c>
      <c r="H623" s="267"/>
      <c r="I623" s="287">
        <v>231</v>
      </c>
      <c r="J623" s="288">
        <f t="shared" si="124"/>
        <v>137.56</v>
      </c>
      <c r="K623" s="276" t="s">
        <v>1087</v>
      </c>
      <c r="L623" s="33">
        <v>1</v>
      </c>
      <c r="M623" s="157" t="s">
        <v>2376</v>
      </c>
      <c r="N623" s="157"/>
      <c r="O623" s="157" t="s">
        <v>540</v>
      </c>
      <c r="P623" s="163" t="s">
        <v>2378</v>
      </c>
    </row>
    <row r="624" s="92" customFormat="1" ht="20.1" customHeight="1" spans="1:16">
      <c r="A624" s="157" t="s">
        <v>2379</v>
      </c>
      <c r="B624" s="36" t="s">
        <v>2380</v>
      </c>
      <c r="C624" s="267">
        <v>220</v>
      </c>
      <c r="D624" s="268">
        <f t="shared" si="118"/>
        <v>0</v>
      </c>
      <c r="E624" s="267"/>
      <c r="F624" s="267"/>
      <c r="G624" s="267"/>
      <c r="H624" s="267"/>
      <c r="I624" s="287"/>
      <c r="J624" s="288">
        <f t="shared" si="124"/>
        <v>-100</v>
      </c>
      <c r="K624" s="276" t="s">
        <v>1087</v>
      </c>
      <c r="L624" s="33">
        <v>1</v>
      </c>
      <c r="M624" s="157" t="s">
        <v>2379</v>
      </c>
      <c r="N624" s="157"/>
      <c r="O624" s="157" t="s">
        <v>540</v>
      </c>
      <c r="P624" s="163" t="s">
        <v>2381</v>
      </c>
    </row>
    <row r="625" s="92" customFormat="1" ht="20.1" customHeight="1" spans="1:16">
      <c r="A625" s="157" t="s">
        <v>2382</v>
      </c>
      <c r="B625" s="300" t="s">
        <v>2383</v>
      </c>
      <c r="C625" s="267"/>
      <c r="D625" s="268">
        <f t="shared" si="118"/>
        <v>0</v>
      </c>
      <c r="E625" s="267"/>
      <c r="F625" s="267"/>
      <c r="G625" s="267"/>
      <c r="H625" s="267"/>
      <c r="I625" s="287"/>
      <c r="J625" s="288"/>
      <c r="K625" s="276" t="s">
        <v>1087</v>
      </c>
      <c r="L625" s="33">
        <v>1</v>
      </c>
      <c r="M625" s="157" t="s">
        <v>2382</v>
      </c>
      <c r="N625" s="157"/>
      <c r="O625" s="157" t="s">
        <v>540</v>
      </c>
      <c r="P625" s="303" t="s">
        <v>2384</v>
      </c>
    </row>
    <row r="626" s="92" customFormat="1" ht="20.1" customHeight="1" spans="1:16">
      <c r="A626" s="301" t="s">
        <v>2385</v>
      </c>
      <c r="B626" s="302" t="s">
        <v>2386</v>
      </c>
      <c r="C626" s="267">
        <v>14</v>
      </c>
      <c r="D626" s="268">
        <f t="shared" si="118"/>
        <v>0</v>
      </c>
      <c r="E626" s="267"/>
      <c r="F626" s="267"/>
      <c r="G626" s="267"/>
      <c r="H626" s="267"/>
      <c r="I626" s="287"/>
      <c r="J626" s="288">
        <f t="shared" ref="J626:J640" si="128">ROUND(IF(C626=0,IF(D626=0,0,1),IF(D626=0,-1,D626/C626)),4)*100</f>
        <v>-100</v>
      </c>
      <c r="K626" s="276" t="s">
        <v>1087</v>
      </c>
      <c r="L626" s="33">
        <v>1</v>
      </c>
      <c r="M626" s="157" t="s">
        <v>2379</v>
      </c>
      <c r="N626" s="157"/>
      <c r="O626" s="157" t="s">
        <v>540</v>
      </c>
      <c r="P626" s="304" t="s">
        <v>2387</v>
      </c>
    </row>
    <row r="627" s="92" customFormat="1" ht="20.1" customHeight="1" spans="1:16">
      <c r="A627" s="157" t="s">
        <v>2388</v>
      </c>
      <c r="B627" s="36" t="s">
        <v>2389</v>
      </c>
      <c r="C627" s="267">
        <v>97</v>
      </c>
      <c r="D627" s="268">
        <f t="shared" si="118"/>
        <v>1573</v>
      </c>
      <c r="E627" s="267">
        <v>1459</v>
      </c>
      <c r="F627" s="267"/>
      <c r="G627" s="267">
        <v>8</v>
      </c>
      <c r="H627" s="267"/>
      <c r="I627" s="287">
        <v>106</v>
      </c>
      <c r="J627" s="288">
        <f t="shared" si="128"/>
        <v>1621.65</v>
      </c>
      <c r="K627" s="276" t="s">
        <v>1087</v>
      </c>
      <c r="L627" s="33">
        <v>1</v>
      </c>
      <c r="M627" s="157" t="s">
        <v>2388</v>
      </c>
      <c r="N627" s="157"/>
      <c r="O627" s="157" t="s">
        <v>540</v>
      </c>
      <c r="P627" s="163" t="s">
        <v>2390</v>
      </c>
    </row>
    <row r="628" s="93" customFormat="1" ht="20.1" customHeight="1" spans="1:16">
      <c r="A628" s="263" t="s">
        <v>541</v>
      </c>
      <c r="B628" s="297" t="s">
        <v>306</v>
      </c>
      <c r="C628" s="265">
        <f t="shared" ref="C628:I628" si="129">SUM(C629:C634)</f>
        <v>203</v>
      </c>
      <c r="D628" s="265">
        <f t="shared" si="118"/>
        <v>298</v>
      </c>
      <c r="E628" s="265">
        <f t="shared" si="129"/>
        <v>151</v>
      </c>
      <c r="F628" s="265">
        <f t="shared" si="129"/>
        <v>0</v>
      </c>
      <c r="G628" s="265">
        <f t="shared" si="129"/>
        <v>58</v>
      </c>
      <c r="H628" s="265">
        <f t="shared" si="129"/>
        <v>0</v>
      </c>
      <c r="I628" s="265">
        <f t="shared" si="129"/>
        <v>89</v>
      </c>
      <c r="J628" s="298">
        <f t="shared" si="128"/>
        <v>146.8</v>
      </c>
      <c r="K628" s="284" t="s">
        <v>1082</v>
      </c>
      <c r="L628" s="285"/>
      <c r="M628" s="263" t="s">
        <v>541</v>
      </c>
      <c r="N628" s="263" t="s">
        <v>532</v>
      </c>
      <c r="O628" s="263" t="s">
        <v>541</v>
      </c>
      <c r="P628" s="286" t="s">
        <v>2391</v>
      </c>
    </row>
    <row r="629" s="252" customFormat="1" ht="20.1" customHeight="1" spans="1:16">
      <c r="A629" s="157" t="s">
        <v>2392</v>
      </c>
      <c r="B629" s="36" t="s">
        <v>2393</v>
      </c>
      <c r="C629" s="267">
        <v>187</v>
      </c>
      <c r="D629" s="268">
        <f t="shared" si="118"/>
        <v>208</v>
      </c>
      <c r="E629" s="267">
        <v>125</v>
      </c>
      <c r="F629" s="267"/>
      <c r="G629" s="267">
        <v>18</v>
      </c>
      <c r="H629" s="267"/>
      <c r="I629" s="287">
        <v>65</v>
      </c>
      <c r="J629" s="288">
        <f t="shared" si="128"/>
        <v>111.23</v>
      </c>
      <c r="K629" s="276" t="s">
        <v>1087</v>
      </c>
      <c r="L629" s="33">
        <v>1</v>
      </c>
      <c r="M629" s="157" t="s">
        <v>2392</v>
      </c>
      <c r="N629" s="157"/>
      <c r="O629" s="157" t="s">
        <v>541</v>
      </c>
      <c r="P629" s="163" t="s">
        <v>2394</v>
      </c>
    </row>
    <row r="630" s="252" customFormat="1" ht="20.1" customHeight="1" spans="1:16">
      <c r="A630" s="157" t="s">
        <v>2395</v>
      </c>
      <c r="B630" s="36" t="s">
        <v>2396</v>
      </c>
      <c r="C630" s="267">
        <v>10</v>
      </c>
      <c r="D630" s="268">
        <f t="shared" si="118"/>
        <v>3</v>
      </c>
      <c r="E630" s="267"/>
      <c r="F630" s="267"/>
      <c r="G630" s="267">
        <v>3</v>
      </c>
      <c r="H630" s="267"/>
      <c r="I630" s="287"/>
      <c r="J630" s="288">
        <f t="shared" si="128"/>
        <v>30</v>
      </c>
      <c r="K630" s="276" t="s">
        <v>1087</v>
      </c>
      <c r="L630" s="33">
        <v>1</v>
      </c>
      <c r="M630" s="157" t="s">
        <v>2395</v>
      </c>
      <c r="N630" s="157"/>
      <c r="O630" s="157" t="s">
        <v>541</v>
      </c>
      <c r="P630" s="163" t="s">
        <v>2397</v>
      </c>
    </row>
    <row r="631" s="92" customFormat="1" ht="20.1" customHeight="1" spans="1:16">
      <c r="A631" s="157" t="s">
        <v>2398</v>
      </c>
      <c r="B631" s="36" t="s">
        <v>2399</v>
      </c>
      <c r="C631" s="267">
        <v>1</v>
      </c>
      <c r="D631" s="268">
        <f t="shared" si="118"/>
        <v>3</v>
      </c>
      <c r="E631" s="267"/>
      <c r="F631" s="267"/>
      <c r="G631" s="267">
        <v>3</v>
      </c>
      <c r="H631" s="267"/>
      <c r="I631" s="287"/>
      <c r="J631" s="288">
        <f t="shared" si="128"/>
        <v>300</v>
      </c>
      <c r="K631" s="276" t="s">
        <v>1087</v>
      </c>
      <c r="L631" s="33">
        <v>1</v>
      </c>
      <c r="M631" s="157" t="s">
        <v>2398</v>
      </c>
      <c r="N631" s="157"/>
      <c r="O631" s="157" t="s">
        <v>541</v>
      </c>
      <c r="P631" s="163" t="s">
        <v>2400</v>
      </c>
    </row>
    <row r="632" s="92" customFormat="1" ht="20.1" customHeight="1" spans="1:16">
      <c r="A632" s="157" t="s">
        <v>2401</v>
      </c>
      <c r="B632" s="36" t="s">
        <v>2402</v>
      </c>
      <c r="C632" s="267"/>
      <c r="D632" s="268">
        <f t="shared" si="118"/>
        <v>30</v>
      </c>
      <c r="E632" s="267"/>
      <c r="F632" s="267"/>
      <c r="G632" s="267">
        <v>30</v>
      </c>
      <c r="H632" s="267"/>
      <c r="I632" s="287"/>
      <c r="J632" s="288">
        <f t="shared" si="128"/>
        <v>100</v>
      </c>
      <c r="K632" s="276" t="s">
        <v>1087</v>
      </c>
      <c r="L632" s="33">
        <v>1</v>
      </c>
      <c r="M632" s="157" t="s">
        <v>2401</v>
      </c>
      <c r="N632" s="157"/>
      <c r="O632" s="157" t="s">
        <v>541</v>
      </c>
      <c r="P632" s="163" t="s">
        <v>2403</v>
      </c>
    </row>
    <row r="633" s="92" customFormat="1" ht="20.1" customHeight="1" spans="1:16">
      <c r="A633" s="157" t="s">
        <v>2404</v>
      </c>
      <c r="B633" s="36" t="s">
        <v>2405</v>
      </c>
      <c r="C633" s="267">
        <v>5</v>
      </c>
      <c r="D633" s="268">
        <f t="shared" ref="D633:D696" si="130">SUM(E633:I633)</f>
        <v>27</v>
      </c>
      <c r="E633" s="267">
        <v>6</v>
      </c>
      <c r="F633" s="267"/>
      <c r="G633" s="267">
        <v>1</v>
      </c>
      <c r="H633" s="267"/>
      <c r="I633" s="287">
        <v>20</v>
      </c>
      <c r="J633" s="288">
        <f t="shared" si="128"/>
        <v>540</v>
      </c>
      <c r="K633" s="276" t="s">
        <v>1087</v>
      </c>
      <c r="L633" s="33">
        <v>1</v>
      </c>
      <c r="M633" s="157" t="s">
        <v>2404</v>
      </c>
      <c r="N633" s="157"/>
      <c r="O633" s="157" t="s">
        <v>541</v>
      </c>
      <c r="P633" s="164" t="s">
        <v>2406</v>
      </c>
    </row>
    <row r="634" s="92" customFormat="1" ht="20.1" customHeight="1" spans="1:16">
      <c r="A634" s="157" t="s">
        <v>2407</v>
      </c>
      <c r="B634" s="36" t="s">
        <v>2408</v>
      </c>
      <c r="C634" s="267"/>
      <c r="D634" s="268">
        <f t="shared" si="130"/>
        <v>27</v>
      </c>
      <c r="E634" s="267">
        <v>20</v>
      </c>
      <c r="F634" s="267"/>
      <c r="G634" s="267">
        <v>3</v>
      </c>
      <c r="H634" s="267"/>
      <c r="I634" s="287">
        <v>4</v>
      </c>
      <c r="J634" s="288">
        <f t="shared" si="128"/>
        <v>100</v>
      </c>
      <c r="K634" s="276" t="s">
        <v>1087</v>
      </c>
      <c r="L634" s="33">
        <v>1</v>
      </c>
      <c r="M634" s="157" t="s">
        <v>2407</v>
      </c>
      <c r="N634" s="157"/>
      <c r="O634" s="157" t="s">
        <v>541</v>
      </c>
      <c r="P634" s="163" t="s">
        <v>2409</v>
      </c>
    </row>
    <row r="635" s="93" customFormat="1" ht="20.1" customHeight="1" spans="1:16">
      <c r="A635" s="263" t="s">
        <v>542</v>
      </c>
      <c r="B635" s="297" t="s">
        <v>307</v>
      </c>
      <c r="C635" s="265">
        <f t="shared" ref="C635:I635" si="131">SUM(C636:C642)</f>
        <v>930</v>
      </c>
      <c r="D635" s="265">
        <f t="shared" si="130"/>
        <v>1092</v>
      </c>
      <c r="E635" s="265">
        <f t="shared" si="131"/>
        <v>138</v>
      </c>
      <c r="F635" s="265">
        <f t="shared" si="131"/>
        <v>2</v>
      </c>
      <c r="G635" s="265">
        <f t="shared" si="131"/>
        <v>108</v>
      </c>
      <c r="H635" s="265">
        <f t="shared" si="131"/>
        <v>34</v>
      </c>
      <c r="I635" s="265">
        <f t="shared" si="131"/>
        <v>810</v>
      </c>
      <c r="J635" s="298">
        <f t="shared" si="128"/>
        <v>117.42</v>
      </c>
      <c r="K635" s="284" t="s">
        <v>1082</v>
      </c>
      <c r="L635" s="285"/>
      <c r="M635" s="263" t="s">
        <v>542</v>
      </c>
      <c r="N635" s="263" t="s">
        <v>532</v>
      </c>
      <c r="O635" s="263" t="s">
        <v>542</v>
      </c>
      <c r="P635" s="286" t="s">
        <v>2410</v>
      </c>
    </row>
    <row r="636" s="252" customFormat="1" ht="20.1" customHeight="1" spans="1:16">
      <c r="A636" s="157" t="s">
        <v>2411</v>
      </c>
      <c r="B636" s="36" t="s">
        <v>2412</v>
      </c>
      <c r="C636" s="267">
        <v>134</v>
      </c>
      <c r="D636" s="268">
        <f t="shared" si="130"/>
        <v>153</v>
      </c>
      <c r="E636" s="267">
        <v>138</v>
      </c>
      <c r="F636" s="267"/>
      <c r="G636" s="267"/>
      <c r="H636" s="267"/>
      <c r="I636" s="287">
        <v>15</v>
      </c>
      <c r="J636" s="288">
        <f t="shared" si="128"/>
        <v>114.18</v>
      </c>
      <c r="K636" s="276" t="s">
        <v>1087</v>
      </c>
      <c r="L636" s="33">
        <v>1</v>
      </c>
      <c r="M636" s="157" t="s">
        <v>2411</v>
      </c>
      <c r="N636" s="157"/>
      <c r="O636" s="157" t="s">
        <v>542</v>
      </c>
      <c r="P636" s="163" t="s">
        <v>2413</v>
      </c>
    </row>
    <row r="637" s="252" customFormat="1" ht="20.1" customHeight="1" spans="1:16">
      <c r="A637" s="157" t="s">
        <v>2414</v>
      </c>
      <c r="B637" s="36" t="s">
        <v>2415</v>
      </c>
      <c r="C637" s="267">
        <v>796</v>
      </c>
      <c r="D637" s="268">
        <f t="shared" si="130"/>
        <v>937</v>
      </c>
      <c r="E637" s="267"/>
      <c r="F637" s="267"/>
      <c r="G637" s="267">
        <v>108</v>
      </c>
      <c r="H637" s="267">
        <v>34</v>
      </c>
      <c r="I637" s="287">
        <v>795</v>
      </c>
      <c r="J637" s="288">
        <f t="shared" si="128"/>
        <v>117.71</v>
      </c>
      <c r="K637" s="276" t="s">
        <v>1087</v>
      </c>
      <c r="L637" s="33">
        <v>1</v>
      </c>
      <c r="M637" s="157" t="s">
        <v>2414</v>
      </c>
      <c r="N637" s="157"/>
      <c r="O637" s="157" t="s">
        <v>542</v>
      </c>
      <c r="P637" s="163" t="s">
        <v>2416</v>
      </c>
    </row>
    <row r="638" s="252" customFormat="1" ht="20.1" customHeight="1" spans="1:16">
      <c r="A638" s="157" t="s">
        <v>2417</v>
      </c>
      <c r="B638" s="36" t="s">
        <v>2418</v>
      </c>
      <c r="C638" s="267"/>
      <c r="D638" s="268">
        <f t="shared" si="130"/>
        <v>0</v>
      </c>
      <c r="E638" s="267"/>
      <c r="F638" s="267"/>
      <c r="G638" s="267"/>
      <c r="H638" s="267"/>
      <c r="I638" s="287"/>
      <c r="J638" s="288">
        <f t="shared" si="128"/>
        <v>0</v>
      </c>
      <c r="K638" s="276" t="s">
        <v>1087</v>
      </c>
      <c r="L638" s="33">
        <v>1</v>
      </c>
      <c r="M638" s="157" t="s">
        <v>2417</v>
      </c>
      <c r="N638" s="157"/>
      <c r="O638" s="157" t="s">
        <v>542</v>
      </c>
      <c r="P638" s="119" t="s">
        <v>2419</v>
      </c>
    </row>
    <row r="639" s="92" customFormat="1" ht="20.1" customHeight="1" spans="1:16">
      <c r="A639" s="157" t="s">
        <v>2420</v>
      </c>
      <c r="B639" s="36" t="s">
        <v>2421</v>
      </c>
      <c r="C639" s="267"/>
      <c r="D639" s="268">
        <f t="shared" si="130"/>
        <v>0</v>
      </c>
      <c r="E639" s="267"/>
      <c r="F639" s="267"/>
      <c r="G639" s="267"/>
      <c r="H639" s="267"/>
      <c r="I639" s="287"/>
      <c r="J639" s="288">
        <f t="shared" si="128"/>
        <v>0</v>
      </c>
      <c r="K639" s="276" t="s">
        <v>1087</v>
      </c>
      <c r="L639" s="33">
        <v>1</v>
      </c>
      <c r="M639" s="157" t="s">
        <v>2420</v>
      </c>
      <c r="N639" s="157"/>
      <c r="O639" s="157" t="s">
        <v>542</v>
      </c>
      <c r="P639" s="119" t="s">
        <v>2422</v>
      </c>
    </row>
    <row r="640" s="92" customFormat="1" ht="20.1" customHeight="1" spans="1:16">
      <c r="A640" s="157" t="s">
        <v>2423</v>
      </c>
      <c r="B640" s="36" t="s">
        <v>2424</v>
      </c>
      <c r="C640" s="267"/>
      <c r="D640" s="268">
        <f t="shared" si="130"/>
        <v>0</v>
      </c>
      <c r="E640" s="267"/>
      <c r="F640" s="267"/>
      <c r="G640" s="267"/>
      <c r="H640" s="267"/>
      <c r="I640" s="287"/>
      <c r="J640" s="288">
        <f t="shared" si="128"/>
        <v>0</v>
      </c>
      <c r="K640" s="276" t="s">
        <v>1087</v>
      </c>
      <c r="L640" s="33">
        <v>1</v>
      </c>
      <c r="M640" s="157" t="s">
        <v>2423</v>
      </c>
      <c r="N640" s="157"/>
      <c r="O640" s="157" t="s">
        <v>542</v>
      </c>
      <c r="P640" s="119" t="s">
        <v>2425</v>
      </c>
    </row>
    <row r="641" s="92" customFormat="1" ht="20.1" customHeight="1" spans="1:16">
      <c r="A641" s="157" t="s">
        <v>2426</v>
      </c>
      <c r="B641" s="36" t="s">
        <v>2427</v>
      </c>
      <c r="C641" s="267"/>
      <c r="D641" s="268">
        <f t="shared" si="130"/>
        <v>0</v>
      </c>
      <c r="E641" s="267"/>
      <c r="F641" s="267"/>
      <c r="G641" s="267"/>
      <c r="H641" s="267"/>
      <c r="I641" s="287"/>
      <c r="J641" s="288"/>
      <c r="K641" s="276" t="s">
        <v>1087</v>
      </c>
      <c r="L641" s="33">
        <v>1</v>
      </c>
      <c r="M641" s="157" t="s">
        <v>2426</v>
      </c>
      <c r="N641" s="157"/>
      <c r="O641" s="157" t="s">
        <v>542</v>
      </c>
      <c r="P641" s="119" t="s">
        <v>2428</v>
      </c>
    </row>
    <row r="642" s="92" customFormat="1" ht="20.1" customHeight="1" spans="1:16">
      <c r="A642" s="157" t="s">
        <v>2429</v>
      </c>
      <c r="B642" s="36" t="s">
        <v>2430</v>
      </c>
      <c r="C642" s="267"/>
      <c r="D642" s="268">
        <f t="shared" si="130"/>
        <v>2</v>
      </c>
      <c r="E642" s="267"/>
      <c r="F642" s="267">
        <v>2</v>
      </c>
      <c r="G642" s="267"/>
      <c r="H642" s="267"/>
      <c r="I642" s="287"/>
      <c r="J642" s="288">
        <f t="shared" ref="J642:J655" si="132">ROUND(IF(C642=0,IF(D642=0,0,1),IF(D642=0,-1,D642/C642)),4)*100</f>
        <v>100</v>
      </c>
      <c r="K642" s="276" t="s">
        <v>1087</v>
      </c>
      <c r="L642" s="33">
        <v>1</v>
      </c>
      <c r="M642" s="157" t="s">
        <v>2429</v>
      </c>
      <c r="N642" s="157"/>
      <c r="O642" s="157" t="s">
        <v>542</v>
      </c>
      <c r="P642" s="163" t="s">
        <v>2431</v>
      </c>
    </row>
    <row r="643" s="93" customFormat="1" ht="20.1" customHeight="1" spans="1:16">
      <c r="A643" s="263" t="s">
        <v>543</v>
      </c>
      <c r="B643" s="297" t="s">
        <v>308</v>
      </c>
      <c r="C643" s="265">
        <f t="shared" ref="C643:I643" si="133">SUM(C644:C651)</f>
        <v>1493</v>
      </c>
      <c r="D643" s="265">
        <f t="shared" si="130"/>
        <v>1853</v>
      </c>
      <c r="E643" s="265">
        <f t="shared" si="133"/>
        <v>1181</v>
      </c>
      <c r="F643" s="265">
        <f t="shared" si="133"/>
        <v>0</v>
      </c>
      <c r="G643" s="265">
        <f t="shared" si="133"/>
        <v>273</v>
      </c>
      <c r="H643" s="265">
        <f t="shared" si="133"/>
        <v>0</v>
      </c>
      <c r="I643" s="265">
        <f t="shared" si="133"/>
        <v>399</v>
      </c>
      <c r="J643" s="298">
        <f t="shared" si="132"/>
        <v>124.11</v>
      </c>
      <c r="K643" s="284" t="s">
        <v>1082</v>
      </c>
      <c r="L643" s="285"/>
      <c r="M643" s="263" t="s">
        <v>543</v>
      </c>
      <c r="N643" s="263" t="s">
        <v>532</v>
      </c>
      <c r="O643" s="263" t="s">
        <v>543</v>
      </c>
      <c r="P643" s="286" t="s">
        <v>2432</v>
      </c>
    </row>
    <row r="644" s="92" customFormat="1" ht="20.1" customHeight="1" spans="1:16">
      <c r="A644" s="157" t="s">
        <v>2433</v>
      </c>
      <c r="B644" s="36" t="s">
        <v>1086</v>
      </c>
      <c r="C644" s="267">
        <v>91</v>
      </c>
      <c r="D644" s="268">
        <f t="shared" si="130"/>
        <v>107</v>
      </c>
      <c r="E644" s="267"/>
      <c r="F644" s="267"/>
      <c r="G644" s="267"/>
      <c r="H644" s="267"/>
      <c r="I644" s="287">
        <v>107</v>
      </c>
      <c r="J644" s="288">
        <f t="shared" si="132"/>
        <v>117.58</v>
      </c>
      <c r="K644" s="276" t="s">
        <v>1087</v>
      </c>
      <c r="L644" s="33">
        <v>1</v>
      </c>
      <c r="M644" s="157" t="s">
        <v>2433</v>
      </c>
      <c r="N644" s="157"/>
      <c r="O644" s="157" t="s">
        <v>543</v>
      </c>
      <c r="P644" s="164" t="s">
        <v>1088</v>
      </c>
    </row>
    <row r="645" s="92" customFormat="1" ht="20.1" customHeight="1" spans="1:16">
      <c r="A645" s="157" t="s">
        <v>2434</v>
      </c>
      <c r="B645" s="36" t="s">
        <v>1090</v>
      </c>
      <c r="C645" s="267"/>
      <c r="D645" s="268">
        <f t="shared" si="130"/>
        <v>0</v>
      </c>
      <c r="E645" s="267"/>
      <c r="F645" s="267"/>
      <c r="G645" s="267"/>
      <c r="H645" s="267"/>
      <c r="I645" s="287"/>
      <c r="J645" s="288">
        <f t="shared" si="132"/>
        <v>0</v>
      </c>
      <c r="K645" s="276" t="s">
        <v>1087</v>
      </c>
      <c r="L645" s="33">
        <v>1</v>
      </c>
      <c r="M645" s="157" t="s">
        <v>2434</v>
      </c>
      <c r="N645" s="157"/>
      <c r="O645" s="157" t="s">
        <v>543</v>
      </c>
      <c r="P645" s="164" t="s">
        <v>1091</v>
      </c>
    </row>
    <row r="646" s="92" customFormat="1" ht="20.1" customHeight="1" spans="1:16">
      <c r="A646" s="157" t="s">
        <v>2435</v>
      </c>
      <c r="B646" s="36" t="s">
        <v>1093</v>
      </c>
      <c r="C646" s="267"/>
      <c r="D646" s="268">
        <f t="shared" si="130"/>
        <v>0</v>
      </c>
      <c r="E646" s="267"/>
      <c r="F646" s="267"/>
      <c r="G646" s="267"/>
      <c r="H646" s="267"/>
      <c r="I646" s="287"/>
      <c r="J646" s="288">
        <f t="shared" si="132"/>
        <v>0</v>
      </c>
      <c r="K646" s="276" t="s">
        <v>1087</v>
      </c>
      <c r="L646" s="33">
        <v>1</v>
      </c>
      <c r="M646" s="157" t="s">
        <v>2435</v>
      </c>
      <c r="N646" s="157"/>
      <c r="O646" s="157" t="s">
        <v>543</v>
      </c>
      <c r="P646" s="164" t="s">
        <v>1094</v>
      </c>
    </row>
    <row r="647" s="92" customFormat="1" ht="20.1" customHeight="1" spans="1:16">
      <c r="A647" s="157" t="s">
        <v>2436</v>
      </c>
      <c r="B647" s="36" t="s">
        <v>2437</v>
      </c>
      <c r="C647" s="267">
        <v>55</v>
      </c>
      <c r="D647" s="268">
        <f t="shared" si="130"/>
        <v>296</v>
      </c>
      <c r="E647" s="267">
        <v>132</v>
      </c>
      <c r="F647" s="267"/>
      <c r="G647" s="267">
        <f>98+66</f>
        <v>164</v>
      </c>
      <c r="H647" s="267"/>
      <c r="I647" s="287"/>
      <c r="J647" s="288">
        <f t="shared" si="132"/>
        <v>538.18</v>
      </c>
      <c r="K647" s="276" t="s">
        <v>1087</v>
      </c>
      <c r="L647" s="33">
        <v>1</v>
      </c>
      <c r="M647" s="157" t="s">
        <v>2436</v>
      </c>
      <c r="N647" s="157"/>
      <c r="O647" s="157" t="s">
        <v>543</v>
      </c>
      <c r="P647" s="163" t="s">
        <v>2438</v>
      </c>
    </row>
    <row r="648" s="92" customFormat="1" ht="20.1" customHeight="1" spans="1:16">
      <c r="A648" s="157" t="s">
        <v>2439</v>
      </c>
      <c r="B648" s="36" t="s">
        <v>2440</v>
      </c>
      <c r="C648" s="267">
        <v>100</v>
      </c>
      <c r="D648" s="268">
        <f t="shared" si="130"/>
        <v>88</v>
      </c>
      <c r="E648" s="267">
        <v>17</v>
      </c>
      <c r="F648" s="267"/>
      <c r="G648" s="267">
        <v>71</v>
      </c>
      <c r="H648" s="267"/>
      <c r="I648" s="287"/>
      <c r="J648" s="288">
        <f t="shared" si="132"/>
        <v>88</v>
      </c>
      <c r="K648" s="276" t="s">
        <v>1087</v>
      </c>
      <c r="L648" s="33">
        <v>1</v>
      </c>
      <c r="M648" s="157" t="s">
        <v>2439</v>
      </c>
      <c r="N648" s="157"/>
      <c r="O648" s="157" t="s">
        <v>543</v>
      </c>
      <c r="P648" s="163" t="s">
        <v>2441</v>
      </c>
    </row>
    <row r="649" s="92" customFormat="1" ht="20.1" customHeight="1" spans="1:16">
      <c r="A649" s="157" t="s">
        <v>2442</v>
      </c>
      <c r="B649" s="36" t="s">
        <v>2443</v>
      </c>
      <c r="C649" s="267"/>
      <c r="D649" s="268">
        <f t="shared" si="130"/>
        <v>0</v>
      </c>
      <c r="E649" s="267"/>
      <c r="F649" s="267"/>
      <c r="G649" s="267"/>
      <c r="H649" s="267"/>
      <c r="I649" s="287"/>
      <c r="J649" s="288">
        <f t="shared" si="132"/>
        <v>0</v>
      </c>
      <c r="K649" s="276" t="s">
        <v>1087</v>
      </c>
      <c r="L649" s="33">
        <v>1</v>
      </c>
      <c r="M649" s="157" t="s">
        <v>2442</v>
      </c>
      <c r="N649" s="157"/>
      <c r="O649" s="157" t="s">
        <v>543</v>
      </c>
      <c r="P649" s="163" t="s">
        <v>2444</v>
      </c>
    </row>
    <row r="650" s="92" customFormat="1" ht="20.1" customHeight="1" spans="1:16">
      <c r="A650" s="157" t="s">
        <v>2445</v>
      </c>
      <c r="B650" s="36" t="s">
        <v>2446</v>
      </c>
      <c r="C650" s="267">
        <v>1186</v>
      </c>
      <c r="D650" s="268">
        <f t="shared" si="130"/>
        <v>1089</v>
      </c>
      <c r="E650" s="267">
        <v>790</v>
      </c>
      <c r="F650" s="267"/>
      <c r="G650" s="267">
        <v>18</v>
      </c>
      <c r="H650" s="267"/>
      <c r="I650" s="287">
        <v>281</v>
      </c>
      <c r="J650" s="288">
        <f t="shared" si="132"/>
        <v>91.82</v>
      </c>
      <c r="K650" s="276" t="s">
        <v>1087</v>
      </c>
      <c r="L650" s="33">
        <v>1</v>
      </c>
      <c r="M650" s="157" t="s">
        <v>2445</v>
      </c>
      <c r="N650" s="157"/>
      <c r="O650" s="157" t="s">
        <v>543</v>
      </c>
      <c r="P650" s="163" t="s">
        <v>2447</v>
      </c>
    </row>
    <row r="651" s="92" customFormat="1" ht="20.1" customHeight="1" spans="1:16">
      <c r="A651" s="157" t="s">
        <v>2448</v>
      </c>
      <c r="B651" s="36" t="s">
        <v>2449</v>
      </c>
      <c r="C651" s="267">
        <v>61</v>
      </c>
      <c r="D651" s="268">
        <f t="shared" si="130"/>
        <v>273</v>
      </c>
      <c r="E651" s="267">
        <v>242</v>
      </c>
      <c r="F651" s="267"/>
      <c r="G651" s="267">
        <v>20</v>
      </c>
      <c r="H651" s="267"/>
      <c r="I651" s="287">
        <v>11</v>
      </c>
      <c r="J651" s="288">
        <f t="shared" si="132"/>
        <v>447.54</v>
      </c>
      <c r="K651" s="276" t="s">
        <v>1087</v>
      </c>
      <c r="L651" s="33">
        <v>1</v>
      </c>
      <c r="M651" s="157" t="s">
        <v>2448</v>
      </c>
      <c r="N651" s="157"/>
      <c r="O651" s="157" t="s">
        <v>543</v>
      </c>
      <c r="P651" s="163" t="s">
        <v>2450</v>
      </c>
    </row>
    <row r="652" s="93" customFormat="1" ht="20.1" customHeight="1" spans="1:16">
      <c r="A652" s="263" t="s">
        <v>544</v>
      </c>
      <c r="B652" s="297" t="s">
        <v>309</v>
      </c>
      <c r="C652" s="265">
        <f t="shared" ref="C652:I652" si="134">SUM(C653:C657)</f>
        <v>50</v>
      </c>
      <c r="D652" s="265">
        <f t="shared" si="130"/>
        <v>39</v>
      </c>
      <c r="E652" s="265">
        <f t="shared" si="134"/>
        <v>0</v>
      </c>
      <c r="F652" s="265">
        <f t="shared" si="134"/>
        <v>1</v>
      </c>
      <c r="G652" s="265">
        <f t="shared" si="134"/>
        <v>0</v>
      </c>
      <c r="H652" s="265">
        <f t="shared" si="134"/>
        <v>0</v>
      </c>
      <c r="I652" s="265">
        <f t="shared" si="134"/>
        <v>38</v>
      </c>
      <c r="J652" s="298">
        <f t="shared" si="132"/>
        <v>78</v>
      </c>
      <c r="K652" s="284" t="s">
        <v>1082</v>
      </c>
      <c r="L652" s="285"/>
      <c r="M652" s="263" t="s">
        <v>544</v>
      </c>
      <c r="N652" s="263" t="s">
        <v>532</v>
      </c>
      <c r="O652" s="263" t="s">
        <v>544</v>
      </c>
      <c r="P652" s="286" t="s">
        <v>2451</v>
      </c>
    </row>
    <row r="653" s="92" customFormat="1" ht="20.1" customHeight="1" spans="1:16">
      <c r="A653" s="157" t="s">
        <v>2452</v>
      </c>
      <c r="B653" s="36" t="s">
        <v>1086</v>
      </c>
      <c r="C653" s="267">
        <v>50</v>
      </c>
      <c r="D653" s="268">
        <f t="shared" si="130"/>
        <v>38</v>
      </c>
      <c r="E653" s="267"/>
      <c r="F653" s="267"/>
      <c r="G653" s="267"/>
      <c r="H653" s="267"/>
      <c r="I653" s="287">
        <v>38</v>
      </c>
      <c r="J653" s="288">
        <f t="shared" si="132"/>
        <v>76</v>
      </c>
      <c r="K653" s="276" t="s">
        <v>1087</v>
      </c>
      <c r="L653" s="33">
        <v>1</v>
      </c>
      <c r="M653" s="157" t="s">
        <v>2452</v>
      </c>
      <c r="N653" s="157"/>
      <c r="O653" s="157" t="s">
        <v>544</v>
      </c>
      <c r="P653" s="164" t="s">
        <v>1088</v>
      </c>
    </row>
    <row r="654" s="92" customFormat="1" ht="20.1" customHeight="1" spans="1:16">
      <c r="A654" s="157" t="s">
        <v>2453</v>
      </c>
      <c r="B654" s="36" t="s">
        <v>1090</v>
      </c>
      <c r="C654" s="267"/>
      <c r="D654" s="268">
        <f t="shared" si="130"/>
        <v>0</v>
      </c>
      <c r="E654" s="267"/>
      <c r="F654" s="267"/>
      <c r="G654" s="267"/>
      <c r="H654" s="267"/>
      <c r="I654" s="287"/>
      <c r="J654" s="288">
        <f t="shared" si="132"/>
        <v>0</v>
      </c>
      <c r="K654" s="276" t="s">
        <v>1087</v>
      </c>
      <c r="L654" s="33">
        <v>1</v>
      </c>
      <c r="M654" s="157" t="s">
        <v>2453</v>
      </c>
      <c r="N654" s="157"/>
      <c r="O654" s="157" t="s">
        <v>544</v>
      </c>
      <c r="P654" s="164" t="s">
        <v>1091</v>
      </c>
    </row>
    <row r="655" s="92" customFormat="1" ht="20.1" customHeight="1" spans="1:16">
      <c r="A655" s="157" t="s">
        <v>2454</v>
      </c>
      <c r="B655" s="36" t="s">
        <v>1093</v>
      </c>
      <c r="C655" s="267"/>
      <c r="D655" s="268">
        <f t="shared" si="130"/>
        <v>0</v>
      </c>
      <c r="E655" s="267"/>
      <c r="F655" s="267"/>
      <c r="G655" s="267"/>
      <c r="H655" s="267"/>
      <c r="I655" s="287"/>
      <c r="J655" s="288">
        <f t="shared" si="132"/>
        <v>0</v>
      </c>
      <c r="K655" s="276" t="s">
        <v>1087</v>
      </c>
      <c r="L655" s="33">
        <v>1</v>
      </c>
      <c r="M655" s="157" t="s">
        <v>2454</v>
      </c>
      <c r="N655" s="157"/>
      <c r="O655" s="157" t="s">
        <v>544</v>
      </c>
      <c r="P655" s="164" t="s">
        <v>1094</v>
      </c>
    </row>
    <row r="656" s="92" customFormat="1" ht="20.1" customHeight="1" spans="1:16">
      <c r="A656" s="157" t="s">
        <v>2455</v>
      </c>
      <c r="B656" s="36" t="s">
        <v>1114</v>
      </c>
      <c r="C656" s="267"/>
      <c r="D656" s="268">
        <f t="shared" si="130"/>
        <v>0</v>
      </c>
      <c r="E656" s="267"/>
      <c r="F656" s="267"/>
      <c r="G656" s="267"/>
      <c r="H656" s="267"/>
      <c r="I656" s="287"/>
      <c r="J656" s="288"/>
      <c r="K656" s="276" t="s">
        <v>1087</v>
      </c>
      <c r="L656" s="33">
        <v>1</v>
      </c>
      <c r="M656" s="157" t="s">
        <v>2455</v>
      </c>
      <c r="N656" s="157"/>
      <c r="O656" s="157" t="s">
        <v>544</v>
      </c>
      <c r="P656" s="164" t="s">
        <v>1115</v>
      </c>
    </row>
    <row r="657" s="92" customFormat="1" ht="20.1" customHeight="1" spans="1:16">
      <c r="A657" s="157" t="s">
        <v>2456</v>
      </c>
      <c r="B657" s="36" t="s">
        <v>2457</v>
      </c>
      <c r="C657" s="267"/>
      <c r="D657" s="268">
        <f t="shared" si="130"/>
        <v>1</v>
      </c>
      <c r="E657" s="267"/>
      <c r="F657" s="267">
        <v>1</v>
      </c>
      <c r="G657" s="267"/>
      <c r="H657" s="267"/>
      <c r="I657" s="287"/>
      <c r="J657" s="288">
        <f t="shared" ref="J657:J686" si="135">ROUND(IF(C657=0,IF(D657=0,0,1),IF(D657=0,-1,D657/C657)),4)*100</f>
        <v>100</v>
      </c>
      <c r="K657" s="276" t="s">
        <v>1087</v>
      </c>
      <c r="L657" s="33">
        <v>1</v>
      </c>
      <c r="M657" s="157" t="s">
        <v>2456</v>
      </c>
      <c r="N657" s="157"/>
      <c r="O657" s="157" t="s">
        <v>544</v>
      </c>
      <c r="P657" s="163" t="s">
        <v>2458</v>
      </c>
    </row>
    <row r="658" s="93" customFormat="1" ht="20.1" customHeight="1" spans="1:16">
      <c r="A658" s="263" t="s">
        <v>545</v>
      </c>
      <c r="B658" s="297" t="s">
        <v>310</v>
      </c>
      <c r="C658" s="265">
        <f t="shared" ref="C658:I658" si="136">SUM(C659:C660)</f>
        <v>11385</v>
      </c>
      <c r="D658" s="265">
        <f t="shared" si="130"/>
        <v>6884</v>
      </c>
      <c r="E658" s="265">
        <f t="shared" si="136"/>
        <v>6884</v>
      </c>
      <c r="F658" s="265">
        <f t="shared" si="136"/>
        <v>0</v>
      </c>
      <c r="G658" s="265">
        <f t="shared" si="136"/>
        <v>0</v>
      </c>
      <c r="H658" s="265">
        <f t="shared" si="136"/>
        <v>0</v>
      </c>
      <c r="I658" s="265">
        <f t="shared" si="136"/>
        <v>0</v>
      </c>
      <c r="J658" s="298">
        <f t="shared" si="135"/>
        <v>60.47</v>
      </c>
      <c r="K658" s="284" t="s">
        <v>1082</v>
      </c>
      <c r="L658" s="285"/>
      <c r="M658" s="263" t="s">
        <v>545</v>
      </c>
      <c r="N658" s="263" t="s">
        <v>532</v>
      </c>
      <c r="O658" s="263" t="s">
        <v>545</v>
      </c>
      <c r="P658" s="286" t="s">
        <v>2459</v>
      </c>
    </row>
    <row r="659" s="92" customFormat="1" ht="20.1" customHeight="1" spans="1:16">
      <c r="A659" s="157" t="s">
        <v>2460</v>
      </c>
      <c r="B659" s="36" t="s">
        <v>2461</v>
      </c>
      <c r="C659" s="267">
        <v>3706</v>
      </c>
      <c r="D659" s="268">
        <f t="shared" si="130"/>
        <v>2374</v>
      </c>
      <c r="E659" s="267">
        <v>2374</v>
      </c>
      <c r="F659" s="267"/>
      <c r="G659" s="267"/>
      <c r="H659" s="267"/>
      <c r="I659" s="287"/>
      <c r="J659" s="288">
        <f t="shared" si="135"/>
        <v>64.06</v>
      </c>
      <c r="K659" s="276" t="s">
        <v>1087</v>
      </c>
      <c r="L659" s="33">
        <v>1</v>
      </c>
      <c r="M659" s="157" t="s">
        <v>2460</v>
      </c>
      <c r="N659" s="157"/>
      <c r="O659" s="157" t="s">
        <v>545</v>
      </c>
      <c r="P659" s="163" t="s">
        <v>2462</v>
      </c>
    </row>
    <row r="660" s="92" customFormat="1" ht="20.1" customHeight="1" spans="1:16">
      <c r="A660" s="157" t="s">
        <v>2463</v>
      </c>
      <c r="B660" s="36" t="s">
        <v>2464</v>
      </c>
      <c r="C660" s="267">
        <v>7679</v>
      </c>
      <c r="D660" s="268">
        <f t="shared" si="130"/>
        <v>4510</v>
      </c>
      <c r="E660" s="267">
        <v>4510</v>
      </c>
      <c r="F660" s="267"/>
      <c r="G660" s="267"/>
      <c r="H660" s="267"/>
      <c r="I660" s="287"/>
      <c r="J660" s="288">
        <f t="shared" si="135"/>
        <v>58.73</v>
      </c>
      <c r="K660" s="276" t="s">
        <v>1087</v>
      </c>
      <c r="L660" s="33">
        <v>1</v>
      </c>
      <c r="M660" s="157" t="s">
        <v>2463</v>
      </c>
      <c r="N660" s="157"/>
      <c r="O660" s="157" t="s">
        <v>545</v>
      </c>
      <c r="P660" s="163" t="s">
        <v>2465</v>
      </c>
    </row>
    <row r="661" s="93" customFormat="1" ht="20.1" customHeight="1" spans="1:16">
      <c r="A661" s="263" t="s">
        <v>546</v>
      </c>
      <c r="B661" s="297" t="s">
        <v>311</v>
      </c>
      <c r="C661" s="265">
        <f t="shared" ref="C661:I661" si="137">SUM(C662:C663)</f>
        <v>146</v>
      </c>
      <c r="D661" s="265">
        <f t="shared" si="130"/>
        <v>186</v>
      </c>
      <c r="E661" s="265">
        <f t="shared" si="137"/>
        <v>140</v>
      </c>
      <c r="F661" s="265">
        <f t="shared" si="137"/>
        <v>0</v>
      </c>
      <c r="G661" s="265">
        <f t="shared" si="137"/>
        <v>46</v>
      </c>
      <c r="H661" s="265">
        <f t="shared" si="137"/>
        <v>0</v>
      </c>
      <c r="I661" s="265">
        <f t="shared" si="137"/>
        <v>0</v>
      </c>
      <c r="J661" s="298">
        <f t="shared" si="135"/>
        <v>127.4</v>
      </c>
      <c r="K661" s="284" t="s">
        <v>1082</v>
      </c>
      <c r="L661" s="285"/>
      <c r="M661" s="263" t="s">
        <v>546</v>
      </c>
      <c r="N661" s="263" t="s">
        <v>532</v>
      </c>
      <c r="O661" s="263" t="s">
        <v>546</v>
      </c>
      <c r="P661" s="286" t="s">
        <v>2466</v>
      </c>
    </row>
    <row r="662" s="92" customFormat="1" ht="20.1" customHeight="1" spans="1:16">
      <c r="A662" s="157" t="s">
        <v>2467</v>
      </c>
      <c r="B662" s="36" t="s">
        <v>2468</v>
      </c>
      <c r="C662" s="267">
        <v>140</v>
      </c>
      <c r="D662" s="268">
        <f t="shared" si="130"/>
        <v>156</v>
      </c>
      <c r="E662" s="267">
        <v>110</v>
      </c>
      <c r="F662" s="267"/>
      <c r="G662" s="267">
        <v>46</v>
      </c>
      <c r="H662" s="267"/>
      <c r="I662" s="287"/>
      <c r="J662" s="288">
        <f t="shared" si="135"/>
        <v>111.43</v>
      </c>
      <c r="K662" s="276" t="s">
        <v>1087</v>
      </c>
      <c r="L662" s="33">
        <v>1</v>
      </c>
      <c r="M662" s="157" t="s">
        <v>2467</v>
      </c>
      <c r="N662" s="157"/>
      <c r="O662" s="157" t="s">
        <v>546</v>
      </c>
      <c r="P662" s="163" t="s">
        <v>2469</v>
      </c>
    </row>
    <row r="663" s="92" customFormat="1" ht="20.1" customHeight="1" spans="1:16">
      <c r="A663" s="157" t="s">
        <v>2470</v>
      </c>
      <c r="B663" s="36" t="s">
        <v>2471</v>
      </c>
      <c r="C663" s="267">
        <v>6</v>
      </c>
      <c r="D663" s="268">
        <f t="shared" si="130"/>
        <v>30</v>
      </c>
      <c r="E663" s="267">
        <v>30</v>
      </c>
      <c r="F663" s="267"/>
      <c r="G663" s="267"/>
      <c r="H663" s="267"/>
      <c r="I663" s="287"/>
      <c r="J663" s="288">
        <f t="shared" si="135"/>
        <v>500</v>
      </c>
      <c r="K663" s="276" t="s">
        <v>1087</v>
      </c>
      <c r="L663" s="33">
        <v>1</v>
      </c>
      <c r="M663" s="157" t="s">
        <v>2470</v>
      </c>
      <c r="N663" s="157"/>
      <c r="O663" s="157" t="s">
        <v>546</v>
      </c>
      <c r="P663" s="163" t="s">
        <v>2472</v>
      </c>
    </row>
    <row r="664" s="93" customFormat="1" ht="20.1" customHeight="1" spans="1:16">
      <c r="A664" s="263" t="s">
        <v>547</v>
      </c>
      <c r="B664" s="297" t="s">
        <v>312</v>
      </c>
      <c r="C664" s="265">
        <f t="shared" ref="C664:I664" si="138">SUM(C665:C666)</f>
        <v>1879</v>
      </c>
      <c r="D664" s="265">
        <f t="shared" si="130"/>
        <v>1800</v>
      </c>
      <c r="E664" s="265">
        <f t="shared" si="138"/>
        <v>1800</v>
      </c>
      <c r="F664" s="265">
        <f t="shared" si="138"/>
        <v>0</v>
      </c>
      <c r="G664" s="265">
        <f t="shared" si="138"/>
        <v>0</v>
      </c>
      <c r="H664" s="265">
        <f t="shared" si="138"/>
        <v>0</v>
      </c>
      <c r="I664" s="265">
        <f t="shared" si="138"/>
        <v>0</v>
      </c>
      <c r="J664" s="298">
        <f t="shared" si="135"/>
        <v>95.8</v>
      </c>
      <c r="K664" s="284" t="s">
        <v>1082</v>
      </c>
      <c r="L664" s="285"/>
      <c r="M664" s="263" t="s">
        <v>547</v>
      </c>
      <c r="N664" s="263" t="s">
        <v>532</v>
      </c>
      <c r="O664" s="263" t="s">
        <v>547</v>
      </c>
      <c r="P664" s="286" t="s">
        <v>2473</v>
      </c>
    </row>
    <row r="665" s="92" customFormat="1" ht="20.1" customHeight="1" spans="1:16">
      <c r="A665" s="157" t="s">
        <v>2474</v>
      </c>
      <c r="B665" s="36" t="s">
        <v>2475</v>
      </c>
      <c r="C665" s="267">
        <v>346</v>
      </c>
      <c r="D665" s="268">
        <f t="shared" si="130"/>
        <v>360</v>
      </c>
      <c r="E665" s="267">
        <v>360</v>
      </c>
      <c r="F665" s="267"/>
      <c r="G665" s="267"/>
      <c r="H665" s="267"/>
      <c r="I665" s="287"/>
      <c r="J665" s="288">
        <f t="shared" si="135"/>
        <v>104.05</v>
      </c>
      <c r="K665" s="276" t="s">
        <v>1087</v>
      </c>
      <c r="L665" s="33">
        <v>1</v>
      </c>
      <c r="M665" s="157" t="s">
        <v>2474</v>
      </c>
      <c r="N665" s="157"/>
      <c r="O665" s="157" t="s">
        <v>547</v>
      </c>
      <c r="P665" s="163" t="s">
        <v>2476</v>
      </c>
    </row>
    <row r="666" s="92" customFormat="1" ht="20.1" customHeight="1" spans="1:16">
      <c r="A666" s="157" t="s">
        <v>2477</v>
      </c>
      <c r="B666" s="36" t="s">
        <v>2478</v>
      </c>
      <c r="C666" s="267">
        <v>1533</v>
      </c>
      <c r="D666" s="268">
        <f t="shared" si="130"/>
        <v>1440</v>
      </c>
      <c r="E666" s="267">
        <v>1440</v>
      </c>
      <c r="F666" s="267"/>
      <c r="G666" s="267"/>
      <c r="H666" s="267"/>
      <c r="I666" s="287"/>
      <c r="J666" s="288">
        <f t="shared" si="135"/>
        <v>93.93</v>
      </c>
      <c r="K666" s="276" t="s">
        <v>1087</v>
      </c>
      <c r="L666" s="33">
        <v>1</v>
      </c>
      <c r="M666" s="157" t="s">
        <v>2477</v>
      </c>
      <c r="N666" s="157"/>
      <c r="O666" s="157" t="s">
        <v>547</v>
      </c>
      <c r="P666" s="163" t="s">
        <v>2479</v>
      </c>
    </row>
    <row r="667" s="93" customFormat="1" ht="20.1" customHeight="1" spans="1:16">
      <c r="A667" s="263" t="s">
        <v>548</v>
      </c>
      <c r="B667" s="297" t="s">
        <v>313</v>
      </c>
      <c r="C667" s="265">
        <v>0</v>
      </c>
      <c r="D667" s="265">
        <f t="shared" si="130"/>
        <v>0</v>
      </c>
      <c r="E667" s="265">
        <f t="shared" ref="E667:H667" si="139">SUM(E668:E669)</f>
        <v>0</v>
      </c>
      <c r="F667" s="265">
        <f t="shared" si="139"/>
        <v>0</v>
      </c>
      <c r="G667" s="265">
        <f>VLOOKUP(A667,[1]√表四、2024年公共财政支出变动表!$A$7:$R$214,18,FALSE)</f>
        <v>0</v>
      </c>
      <c r="H667" s="265">
        <f t="shared" si="139"/>
        <v>0</v>
      </c>
      <c r="I667" s="265"/>
      <c r="J667" s="298">
        <f t="shared" si="135"/>
        <v>0</v>
      </c>
      <c r="K667" s="284" t="s">
        <v>1082</v>
      </c>
      <c r="L667" s="285"/>
      <c r="M667" s="263" t="s">
        <v>548</v>
      </c>
      <c r="N667" s="263" t="s">
        <v>532</v>
      </c>
      <c r="O667" s="263" t="s">
        <v>548</v>
      </c>
      <c r="P667" s="286" t="s">
        <v>2480</v>
      </c>
    </row>
    <row r="668" s="92" customFormat="1" ht="20.1" customHeight="1" spans="1:16">
      <c r="A668" s="157" t="s">
        <v>2481</v>
      </c>
      <c r="B668" s="36" t="s">
        <v>2482</v>
      </c>
      <c r="C668" s="267">
        <v>0</v>
      </c>
      <c r="D668" s="268">
        <f t="shared" si="130"/>
        <v>0</v>
      </c>
      <c r="E668" s="267"/>
      <c r="F668" s="267"/>
      <c r="G668" s="267"/>
      <c r="H668" s="267"/>
      <c r="I668" s="287"/>
      <c r="J668" s="288">
        <f t="shared" si="135"/>
        <v>0</v>
      </c>
      <c r="K668" s="276" t="s">
        <v>1087</v>
      </c>
      <c r="L668" s="33">
        <v>1</v>
      </c>
      <c r="M668" s="157" t="s">
        <v>2481</v>
      </c>
      <c r="N668" s="157"/>
      <c r="O668" s="157" t="s">
        <v>548</v>
      </c>
      <c r="P668" s="164" t="s">
        <v>2483</v>
      </c>
    </row>
    <row r="669" s="92" customFormat="1" ht="20.1" customHeight="1" spans="1:16">
      <c r="A669" s="157" t="s">
        <v>2484</v>
      </c>
      <c r="B669" s="36" t="s">
        <v>2485</v>
      </c>
      <c r="C669" s="267">
        <v>0</v>
      </c>
      <c r="D669" s="268">
        <f t="shared" si="130"/>
        <v>0</v>
      </c>
      <c r="E669" s="267"/>
      <c r="F669" s="267"/>
      <c r="G669" s="267"/>
      <c r="H669" s="267"/>
      <c r="I669" s="287"/>
      <c r="J669" s="288">
        <f t="shared" si="135"/>
        <v>0</v>
      </c>
      <c r="K669" s="276" t="s">
        <v>1087</v>
      </c>
      <c r="L669" s="33">
        <v>1</v>
      </c>
      <c r="M669" s="157" t="s">
        <v>2484</v>
      </c>
      <c r="N669" s="157"/>
      <c r="O669" s="157" t="s">
        <v>548</v>
      </c>
      <c r="P669" s="163" t="s">
        <v>2486</v>
      </c>
    </row>
    <row r="670" s="93" customFormat="1" ht="20.1" customHeight="1" spans="1:16">
      <c r="A670" s="263" t="s">
        <v>549</v>
      </c>
      <c r="B670" s="297" t="s">
        <v>314</v>
      </c>
      <c r="C670" s="265">
        <f t="shared" ref="C670:I670" si="140">SUM(C671:C672)</f>
        <v>246</v>
      </c>
      <c r="D670" s="265">
        <f t="shared" si="130"/>
        <v>8</v>
      </c>
      <c r="E670" s="265">
        <f t="shared" si="140"/>
        <v>0</v>
      </c>
      <c r="F670" s="265">
        <f t="shared" si="140"/>
        <v>0</v>
      </c>
      <c r="G670" s="265">
        <f t="shared" si="140"/>
        <v>0</v>
      </c>
      <c r="H670" s="265">
        <f t="shared" si="140"/>
        <v>0</v>
      </c>
      <c r="I670" s="265">
        <f t="shared" si="140"/>
        <v>8</v>
      </c>
      <c r="J670" s="298">
        <f t="shared" si="135"/>
        <v>3.25</v>
      </c>
      <c r="K670" s="284" t="s">
        <v>1082</v>
      </c>
      <c r="L670" s="285"/>
      <c r="M670" s="263" t="s">
        <v>549</v>
      </c>
      <c r="N670" s="263" t="s">
        <v>532</v>
      </c>
      <c r="O670" s="263" t="s">
        <v>549</v>
      </c>
      <c r="P670" s="286" t="s">
        <v>2487</v>
      </c>
    </row>
    <row r="671" s="92" customFormat="1" ht="20.1" customHeight="1" spans="1:16">
      <c r="A671" s="157" t="s">
        <v>2488</v>
      </c>
      <c r="B671" s="36" t="s">
        <v>2489</v>
      </c>
      <c r="C671" s="267">
        <v>53</v>
      </c>
      <c r="D671" s="268">
        <f t="shared" si="130"/>
        <v>8</v>
      </c>
      <c r="E671" s="267"/>
      <c r="F671" s="267"/>
      <c r="G671" s="267"/>
      <c r="H671" s="267"/>
      <c r="I671" s="287">
        <v>8</v>
      </c>
      <c r="J671" s="288">
        <f t="shared" si="135"/>
        <v>15.09</v>
      </c>
      <c r="K671" s="276" t="s">
        <v>1087</v>
      </c>
      <c r="L671" s="33">
        <v>1</v>
      </c>
      <c r="M671" s="157" t="s">
        <v>2488</v>
      </c>
      <c r="N671" s="157"/>
      <c r="O671" s="157" t="s">
        <v>549</v>
      </c>
      <c r="P671" s="163" t="s">
        <v>2490</v>
      </c>
    </row>
    <row r="672" s="92" customFormat="1" ht="20.1" customHeight="1" spans="1:16">
      <c r="A672" s="157" t="s">
        <v>2491</v>
      </c>
      <c r="B672" s="36" t="s">
        <v>2492</v>
      </c>
      <c r="C672" s="267">
        <v>193</v>
      </c>
      <c r="D672" s="268">
        <f t="shared" si="130"/>
        <v>0</v>
      </c>
      <c r="E672" s="267"/>
      <c r="F672" s="267"/>
      <c r="G672" s="267"/>
      <c r="H672" s="267"/>
      <c r="I672" s="287"/>
      <c r="J672" s="288">
        <f t="shared" si="135"/>
        <v>-100</v>
      </c>
      <c r="K672" s="276" t="s">
        <v>1087</v>
      </c>
      <c r="L672" s="33">
        <v>1</v>
      </c>
      <c r="M672" s="157" t="s">
        <v>2491</v>
      </c>
      <c r="N672" s="157"/>
      <c r="O672" s="157" t="s">
        <v>549</v>
      </c>
      <c r="P672" s="163" t="s">
        <v>2493</v>
      </c>
    </row>
    <row r="673" s="93" customFormat="1" ht="20.1" customHeight="1" spans="1:16">
      <c r="A673" s="263" t="s">
        <v>550</v>
      </c>
      <c r="B673" s="297" t="s">
        <v>315</v>
      </c>
      <c r="C673" s="265">
        <f t="shared" ref="C673:I673" si="141">SUM(C674:C676)</f>
        <v>6468</v>
      </c>
      <c r="D673" s="265">
        <f t="shared" si="130"/>
        <v>11114</v>
      </c>
      <c r="E673" s="265">
        <f t="shared" si="141"/>
        <v>6432</v>
      </c>
      <c r="F673" s="265">
        <f t="shared" si="141"/>
        <v>0</v>
      </c>
      <c r="G673" s="265">
        <f t="shared" si="141"/>
        <v>3901</v>
      </c>
      <c r="H673" s="265">
        <f t="shared" si="141"/>
        <v>0</v>
      </c>
      <c r="I673" s="265">
        <f t="shared" si="141"/>
        <v>781</v>
      </c>
      <c r="J673" s="298">
        <f t="shared" si="135"/>
        <v>171.83</v>
      </c>
      <c r="K673" s="284" t="s">
        <v>1082</v>
      </c>
      <c r="L673" s="285"/>
      <c r="M673" s="263" t="s">
        <v>550</v>
      </c>
      <c r="N673" s="263" t="s">
        <v>532</v>
      </c>
      <c r="O673" s="263" t="s">
        <v>550</v>
      </c>
      <c r="P673" s="286" t="s">
        <v>2494</v>
      </c>
    </row>
    <row r="674" s="92" customFormat="1" ht="20.1" customHeight="1" spans="1:16">
      <c r="A674" s="157" t="s">
        <v>2495</v>
      </c>
      <c r="B674" s="36" t="s">
        <v>2496</v>
      </c>
      <c r="C674" s="267">
        <v>0</v>
      </c>
      <c r="D674" s="268">
        <f t="shared" si="130"/>
        <v>0</v>
      </c>
      <c r="E674" s="267"/>
      <c r="F674" s="267"/>
      <c r="G674" s="267"/>
      <c r="H674" s="267"/>
      <c r="I674" s="287"/>
      <c r="J674" s="288">
        <f t="shared" si="135"/>
        <v>0</v>
      </c>
      <c r="K674" s="276" t="s">
        <v>1087</v>
      </c>
      <c r="L674" s="33">
        <v>1</v>
      </c>
      <c r="M674" s="157" t="s">
        <v>2495</v>
      </c>
      <c r="N674" s="157"/>
      <c r="O674" s="157" t="s">
        <v>550</v>
      </c>
      <c r="P674" s="163" t="s">
        <v>2497</v>
      </c>
    </row>
    <row r="675" s="92" customFormat="1" ht="20.1" customHeight="1" spans="1:16">
      <c r="A675" s="157" t="s">
        <v>2498</v>
      </c>
      <c r="B675" s="36" t="s">
        <v>2499</v>
      </c>
      <c r="C675" s="267">
        <v>6468</v>
      </c>
      <c r="D675" s="268">
        <f t="shared" si="130"/>
        <v>11114</v>
      </c>
      <c r="E675" s="267">
        <v>6432</v>
      </c>
      <c r="F675" s="267"/>
      <c r="G675" s="267">
        <v>3901</v>
      </c>
      <c r="H675" s="267"/>
      <c r="I675" s="287">
        <v>781</v>
      </c>
      <c r="J675" s="288">
        <f t="shared" si="135"/>
        <v>171.83</v>
      </c>
      <c r="K675" s="276" t="s">
        <v>1087</v>
      </c>
      <c r="L675" s="33">
        <v>1</v>
      </c>
      <c r="M675" s="157" t="s">
        <v>2498</v>
      </c>
      <c r="N675" s="157"/>
      <c r="O675" s="157" t="s">
        <v>550</v>
      </c>
      <c r="P675" s="163" t="s">
        <v>2500</v>
      </c>
    </row>
    <row r="676" s="92" customFormat="1" ht="20.1" customHeight="1" spans="1:16">
      <c r="A676" s="157" t="s">
        <v>2501</v>
      </c>
      <c r="B676" s="36" t="s">
        <v>2502</v>
      </c>
      <c r="C676" s="267"/>
      <c r="D676" s="268">
        <f t="shared" si="130"/>
        <v>0</v>
      </c>
      <c r="E676" s="267"/>
      <c r="F676" s="267"/>
      <c r="G676" s="267"/>
      <c r="H676" s="267"/>
      <c r="I676" s="287"/>
      <c r="J676" s="288">
        <f t="shared" si="135"/>
        <v>0</v>
      </c>
      <c r="K676" s="276" t="s">
        <v>1087</v>
      </c>
      <c r="L676" s="33">
        <v>1</v>
      </c>
      <c r="M676" s="157" t="s">
        <v>2501</v>
      </c>
      <c r="N676" s="157"/>
      <c r="O676" s="157" t="s">
        <v>550</v>
      </c>
      <c r="P676" s="163" t="s">
        <v>2503</v>
      </c>
    </row>
    <row r="677" s="93" customFormat="1" ht="20.1" customHeight="1" spans="1:16">
      <c r="A677" s="263" t="s">
        <v>551</v>
      </c>
      <c r="B677" s="297" t="s">
        <v>316</v>
      </c>
      <c r="C677" s="265">
        <f t="shared" ref="C677:F677" si="142">SUM(C678:C680)</f>
        <v>0</v>
      </c>
      <c r="D677" s="265">
        <f t="shared" si="130"/>
        <v>0</v>
      </c>
      <c r="E677" s="265">
        <f t="shared" si="142"/>
        <v>0</v>
      </c>
      <c r="F677" s="265">
        <f t="shared" si="142"/>
        <v>0</v>
      </c>
      <c r="G677" s="265">
        <f>VLOOKUP(A677,[1]√表四、2024年公共财政支出变动表!$A$7:$R$214,18,FALSE)</f>
        <v>0</v>
      </c>
      <c r="H677" s="265">
        <f>SUM(H678:H680)</f>
        <v>0</v>
      </c>
      <c r="I677" s="265"/>
      <c r="J677" s="298">
        <f t="shared" si="135"/>
        <v>0</v>
      </c>
      <c r="K677" s="284" t="s">
        <v>1082</v>
      </c>
      <c r="L677" s="285"/>
      <c r="M677" s="263" t="s">
        <v>551</v>
      </c>
      <c r="N677" s="263" t="s">
        <v>532</v>
      </c>
      <c r="O677" s="263" t="s">
        <v>551</v>
      </c>
      <c r="P677" s="286" t="s">
        <v>2504</v>
      </c>
    </row>
    <row r="678" s="92" customFormat="1" ht="20.1" customHeight="1" spans="1:16">
      <c r="A678" s="157" t="s">
        <v>2505</v>
      </c>
      <c r="B678" s="36" t="s">
        <v>2506</v>
      </c>
      <c r="C678" s="267">
        <v>0</v>
      </c>
      <c r="D678" s="268">
        <f t="shared" si="130"/>
        <v>0</v>
      </c>
      <c r="E678" s="267"/>
      <c r="F678" s="267"/>
      <c r="G678" s="267"/>
      <c r="H678" s="267"/>
      <c r="I678" s="287"/>
      <c r="J678" s="288">
        <f t="shared" si="135"/>
        <v>0</v>
      </c>
      <c r="K678" s="276" t="s">
        <v>1087</v>
      </c>
      <c r="L678" s="33">
        <v>1</v>
      </c>
      <c r="M678" s="157" t="s">
        <v>2505</v>
      </c>
      <c r="N678" s="157"/>
      <c r="O678" s="157" t="s">
        <v>551</v>
      </c>
      <c r="P678" s="163" t="s">
        <v>2507</v>
      </c>
    </row>
    <row r="679" s="92" customFormat="1" ht="20.1" customHeight="1" spans="1:16">
      <c r="A679" s="157" t="s">
        <v>2508</v>
      </c>
      <c r="B679" s="36" t="s">
        <v>2509</v>
      </c>
      <c r="C679" s="267">
        <v>0</v>
      </c>
      <c r="D679" s="268">
        <f t="shared" si="130"/>
        <v>0</v>
      </c>
      <c r="E679" s="267"/>
      <c r="F679" s="267"/>
      <c r="G679" s="267"/>
      <c r="H679" s="267"/>
      <c r="I679" s="287"/>
      <c r="J679" s="288">
        <f t="shared" si="135"/>
        <v>0</v>
      </c>
      <c r="K679" s="276" t="s">
        <v>1087</v>
      </c>
      <c r="L679" s="33">
        <v>1</v>
      </c>
      <c r="M679" s="157" t="s">
        <v>2508</v>
      </c>
      <c r="N679" s="157"/>
      <c r="O679" s="157" t="s">
        <v>551</v>
      </c>
      <c r="P679" s="163" t="s">
        <v>2510</v>
      </c>
    </row>
    <row r="680" s="92" customFormat="1" ht="20.1" customHeight="1" spans="1:16">
      <c r="A680" s="157" t="s">
        <v>2511</v>
      </c>
      <c r="B680" s="36" t="s">
        <v>2512</v>
      </c>
      <c r="C680" s="267">
        <v>0</v>
      </c>
      <c r="D680" s="268">
        <f t="shared" si="130"/>
        <v>0</v>
      </c>
      <c r="E680" s="267"/>
      <c r="F680" s="267"/>
      <c r="G680" s="267"/>
      <c r="H680" s="267"/>
      <c r="I680" s="287"/>
      <c r="J680" s="288">
        <f t="shared" si="135"/>
        <v>0</v>
      </c>
      <c r="K680" s="276" t="s">
        <v>1087</v>
      </c>
      <c r="L680" s="33">
        <v>1</v>
      </c>
      <c r="M680" s="157" t="s">
        <v>2511</v>
      </c>
      <c r="N680" s="157"/>
      <c r="O680" s="157" t="s">
        <v>551</v>
      </c>
      <c r="P680" s="163" t="s">
        <v>2513</v>
      </c>
    </row>
    <row r="681" s="93" customFormat="1" ht="20.1" customHeight="1" spans="1:16">
      <c r="A681" s="263" t="s">
        <v>552</v>
      </c>
      <c r="B681" s="297" t="s">
        <v>317</v>
      </c>
      <c r="C681" s="265">
        <f t="shared" ref="C681:I681" si="143">SUM(C682:C689)</f>
        <v>431</v>
      </c>
      <c r="D681" s="265">
        <f t="shared" si="130"/>
        <v>288</v>
      </c>
      <c r="E681" s="265">
        <f t="shared" si="143"/>
        <v>0</v>
      </c>
      <c r="F681" s="265">
        <f t="shared" si="143"/>
        <v>0</v>
      </c>
      <c r="G681" s="265">
        <f t="shared" si="143"/>
        <v>106</v>
      </c>
      <c r="H681" s="265">
        <f t="shared" si="143"/>
        <v>0</v>
      </c>
      <c r="I681" s="265">
        <f t="shared" si="143"/>
        <v>182</v>
      </c>
      <c r="J681" s="298">
        <f t="shared" si="135"/>
        <v>66.82</v>
      </c>
      <c r="K681" s="284" t="s">
        <v>1082</v>
      </c>
      <c r="L681" s="285"/>
      <c r="M681" s="263" t="s">
        <v>552</v>
      </c>
      <c r="N681" s="263" t="s">
        <v>532</v>
      </c>
      <c r="O681" s="263" t="s">
        <v>552</v>
      </c>
      <c r="P681" s="286" t="s">
        <v>2514</v>
      </c>
    </row>
    <row r="682" s="92" customFormat="1" ht="20.1" customHeight="1" spans="1:16">
      <c r="A682" s="157" t="s">
        <v>2515</v>
      </c>
      <c r="B682" s="164" t="s">
        <v>1086</v>
      </c>
      <c r="C682" s="267">
        <v>99</v>
      </c>
      <c r="D682" s="268">
        <f t="shared" si="130"/>
        <v>110</v>
      </c>
      <c r="E682" s="267"/>
      <c r="F682" s="267"/>
      <c r="G682" s="267"/>
      <c r="H682" s="267"/>
      <c r="I682" s="287">
        <v>110</v>
      </c>
      <c r="J682" s="288">
        <f t="shared" si="135"/>
        <v>111.11</v>
      </c>
      <c r="K682" s="276" t="s">
        <v>1087</v>
      </c>
      <c r="L682" s="33">
        <v>1</v>
      </c>
      <c r="M682" s="157" t="s">
        <v>2515</v>
      </c>
      <c r="N682" s="157"/>
      <c r="O682" s="157" t="s">
        <v>552</v>
      </c>
      <c r="P682" s="164" t="s">
        <v>1088</v>
      </c>
    </row>
    <row r="683" s="252" customFormat="1" ht="20.1" customHeight="1" spans="1:16">
      <c r="A683" s="157" t="s">
        <v>2516</v>
      </c>
      <c r="B683" s="164" t="s">
        <v>1090</v>
      </c>
      <c r="C683" s="267"/>
      <c r="D683" s="268">
        <f t="shared" si="130"/>
        <v>2</v>
      </c>
      <c r="E683" s="267"/>
      <c r="F683" s="267"/>
      <c r="G683" s="267"/>
      <c r="H683" s="267"/>
      <c r="I683" s="287">
        <v>2</v>
      </c>
      <c r="J683" s="288">
        <f t="shared" si="135"/>
        <v>100</v>
      </c>
      <c r="K683" s="276" t="s">
        <v>1087</v>
      </c>
      <c r="L683" s="33">
        <v>1</v>
      </c>
      <c r="M683" s="157" t="s">
        <v>2516</v>
      </c>
      <c r="N683" s="157"/>
      <c r="O683" s="157" t="s">
        <v>552</v>
      </c>
      <c r="P683" s="164" t="s">
        <v>1091</v>
      </c>
    </row>
    <row r="684" s="92" customFormat="1" ht="20.1" customHeight="1" spans="1:16">
      <c r="A684" s="157" t="s">
        <v>2517</v>
      </c>
      <c r="B684" s="164" t="s">
        <v>1093</v>
      </c>
      <c r="C684" s="267"/>
      <c r="D684" s="268">
        <f t="shared" si="130"/>
        <v>0</v>
      </c>
      <c r="E684" s="267"/>
      <c r="F684" s="267"/>
      <c r="G684" s="267"/>
      <c r="H684" s="267"/>
      <c r="I684" s="287"/>
      <c r="J684" s="288">
        <f t="shared" si="135"/>
        <v>0</v>
      </c>
      <c r="K684" s="276" t="s">
        <v>1087</v>
      </c>
      <c r="L684" s="33">
        <v>1</v>
      </c>
      <c r="M684" s="157" t="s">
        <v>2517</v>
      </c>
      <c r="N684" s="157"/>
      <c r="O684" s="157" t="s">
        <v>552</v>
      </c>
      <c r="P684" s="164" t="s">
        <v>1094</v>
      </c>
    </row>
    <row r="685" s="92" customFormat="1" ht="20.1" customHeight="1" spans="1:16">
      <c r="A685" s="157" t="s">
        <v>2518</v>
      </c>
      <c r="B685" s="164" t="s">
        <v>2519</v>
      </c>
      <c r="C685" s="267">
        <v>33</v>
      </c>
      <c r="D685" s="268">
        <f t="shared" si="130"/>
        <v>51</v>
      </c>
      <c r="E685" s="267"/>
      <c r="F685" s="267"/>
      <c r="G685" s="267"/>
      <c r="H685" s="267"/>
      <c r="I685" s="287">
        <v>51</v>
      </c>
      <c r="J685" s="288">
        <f t="shared" si="135"/>
        <v>154.55</v>
      </c>
      <c r="K685" s="276" t="s">
        <v>1087</v>
      </c>
      <c r="L685" s="33">
        <v>1</v>
      </c>
      <c r="M685" s="157" t="s">
        <v>2518</v>
      </c>
      <c r="N685" s="157"/>
      <c r="O685" s="157" t="s">
        <v>552</v>
      </c>
      <c r="P685" s="164" t="s">
        <v>2520</v>
      </c>
    </row>
    <row r="686" s="92" customFormat="1" ht="20.1" customHeight="1" spans="1:16">
      <c r="A686" s="157" t="s">
        <v>2521</v>
      </c>
      <c r="B686" s="164" t="s">
        <v>2522</v>
      </c>
      <c r="C686" s="267"/>
      <c r="D686" s="268">
        <f t="shared" si="130"/>
        <v>0</v>
      </c>
      <c r="E686" s="267"/>
      <c r="F686" s="267"/>
      <c r="G686" s="267"/>
      <c r="H686" s="267"/>
      <c r="I686" s="287"/>
      <c r="J686" s="288">
        <f t="shared" si="135"/>
        <v>0</v>
      </c>
      <c r="K686" s="276" t="s">
        <v>1087</v>
      </c>
      <c r="L686" s="33">
        <v>1</v>
      </c>
      <c r="M686" s="157" t="s">
        <v>2521</v>
      </c>
      <c r="N686" s="157"/>
      <c r="O686" s="157" t="s">
        <v>552</v>
      </c>
      <c r="P686" s="164" t="s">
        <v>2523</v>
      </c>
    </row>
    <row r="687" s="92" customFormat="1" ht="20.1" customHeight="1" spans="1:16">
      <c r="A687" s="157" t="s">
        <v>2524</v>
      </c>
      <c r="B687" s="164" t="s">
        <v>1217</v>
      </c>
      <c r="C687" s="267"/>
      <c r="D687" s="268">
        <f t="shared" si="130"/>
        <v>0</v>
      </c>
      <c r="E687" s="267"/>
      <c r="F687" s="267"/>
      <c r="G687" s="267"/>
      <c r="H687" s="267"/>
      <c r="I687" s="287"/>
      <c r="J687" s="288"/>
      <c r="K687" s="276" t="s">
        <v>1087</v>
      </c>
      <c r="L687" s="33">
        <v>1</v>
      </c>
      <c r="M687" s="157" t="s">
        <v>2524</v>
      </c>
      <c r="N687" s="157"/>
      <c r="O687" s="157" t="s">
        <v>552</v>
      </c>
      <c r="P687" s="164" t="s">
        <v>1218</v>
      </c>
    </row>
    <row r="688" s="92" customFormat="1" ht="20.1" customHeight="1" spans="1:16">
      <c r="A688" s="157" t="s">
        <v>2525</v>
      </c>
      <c r="B688" s="164" t="s">
        <v>1114</v>
      </c>
      <c r="C688" s="267">
        <v>277</v>
      </c>
      <c r="D688" s="268">
        <f t="shared" si="130"/>
        <v>6</v>
      </c>
      <c r="E688" s="267"/>
      <c r="F688" s="267"/>
      <c r="G688" s="267"/>
      <c r="H688" s="267"/>
      <c r="I688" s="287">
        <v>6</v>
      </c>
      <c r="J688" s="288">
        <f t="shared" ref="J688:J712" si="144">ROUND(IF(C688=0,IF(D688=0,0,1),IF(D688=0,-1,D688/C688)),4)*100</f>
        <v>2.17</v>
      </c>
      <c r="K688" s="276" t="s">
        <v>1087</v>
      </c>
      <c r="L688" s="33">
        <v>1</v>
      </c>
      <c r="M688" s="157" t="s">
        <v>2525</v>
      </c>
      <c r="N688" s="157"/>
      <c r="O688" s="157" t="s">
        <v>552</v>
      </c>
      <c r="P688" s="164" t="s">
        <v>1115</v>
      </c>
    </row>
    <row r="689" s="92" customFormat="1" ht="20.1" customHeight="1" spans="1:16">
      <c r="A689" s="157" t="s">
        <v>2526</v>
      </c>
      <c r="B689" s="164" t="s">
        <v>2527</v>
      </c>
      <c r="C689" s="267">
        <v>22</v>
      </c>
      <c r="D689" s="268">
        <f t="shared" si="130"/>
        <v>119</v>
      </c>
      <c r="E689" s="267"/>
      <c r="F689" s="267"/>
      <c r="G689" s="267">
        <v>106</v>
      </c>
      <c r="H689" s="267"/>
      <c r="I689" s="287">
        <v>13</v>
      </c>
      <c r="J689" s="288">
        <f t="shared" si="144"/>
        <v>540.91</v>
      </c>
      <c r="K689" s="276" t="s">
        <v>1087</v>
      </c>
      <c r="L689" s="33">
        <v>1</v>
      </c>
      <c r="M689" s="157" t="s">
        <v>2526</v>
      </c>
      <c r="N689" s="157"/>
      <c r="O689" s="157" t="s">
        <v>552</v>
      </c>
      <c r="P689" s="164" t="s">
        <v>2528</v>
      </c>
    </row>
    <row r="690" s="93" customFormat="1" ht="20.1" customHeight="1" spans="1:16">
      <c r="A690" s="263" t="s">
        <v>553</v>
      </c>
      <c r="B690" s="297" t="s">
        <v>554</v>
      </c>
      <c r="C690" s="265">
        <f t="shared" ref="C690:I690" si="145">SUM(C691:C692)</f>
        <v>3462</v>
      </c>
      <c r="D690" s="265">
        <f t="shared" si="130"/>
        <v>2745</v>
      </c>
      <c r="E690" s="265">
        <f t="shared" si="145"/>
        <v>17</v>
      </c>
      <c r="F690" s="265">
        <f t="shared" si="145"/>
        <v>0</v>
      </c>
      <c r="G690" s="265">
        <f t="shared" si="145"/>
        <v>19</v>
      </c>
      <c r="H690" s="265">
        <f t="shared" si="145"/>
        <v>0</v>
      </c>
      <c r="I690" s="265">
        <f t="shared" si="145"/>
        <v>2709</v>
      </c>
      <c r="J690" s="298"/>
      <c r="K690" s="284" t="s">
        <v>1082</v>
      </c>
      <c r="L690" s="285"/>
      <c r="M690" s="263" t="s">
        <v>553</v>
      </c>
      <c r="N690" s="263" t="s">
        <v>532</v>
      </c>
      <c r="O690" s="263" t="s">
        <v>553</v>
      </c>
      <c r="P690" s="286" t="s">
        <v>2529</v>
      </c>
    </row>
    <row r="691" s="92" customFormat="1" ht="20.1" customHeight="1" spans="1:16">
      <c r="A691" s="183" t="s">
        <v>2530</v>
      </c>
      <c r="B691" s="305" t="s">
        <v>2531</v>
      </c>
      <c r="C691" s="267">
        <v>106</v>
      </c>
      <c r="D691" s="268">
        <f t="shared" si="130"/>
        <v>42</v>
      </c>
      <c r="E691" s="267"/>
      <c r="F691" s="267"/>
      <c r="G691" s="267">
        <v>15</v>
      </c>
      <c r="H691" s="267"/>
      <c r="I691" s="287">
        <v>27</v>
      </c>
      <c r="J691" s="288"/>
      <c r="K691" s="276" t="s">
        <v>1087</v>
      </c>
      <c r="L691" s="33">
        <v>1</v>
      </c>
      <c r="M691" s="157" t="s">
        <v>2530</v>
      </c>
      <c r="N691" s="157"/>
      <c r="O691" s="157" t="s">
        <v>553</v>
      </c>
      <c r="P691" s="306" t="s">
        <v>2532</v>
      </c>
    </row>
    <row r="692" s="92" customFormat="1" ht="20.1" customHeight="1" spans="1:16">
      <c r="A692" s="183" t="s">
        <v>2533</v>
      </c>
      <c r="B692" s="305" t="s">
        <v>2534</v>
      </c>
      <c r="C692" s="267">
        <v>3356</v>
      </c>
      <c r="D692" s="268">
        <f t="shared" si="130"/>
        <v>2703</v>
      </c>
      <c r="E692" s="267">
        <v>17</v>
      </c>
      <c r="F692" s="267"/>
      <c r="G692" s="267">
        <v>4</v>
      </c>
      <c r="H692" s="267"/>
      <c r="I692" s="287">
        <v>2682</v>
      </c>
      <c r="J692" s="288"/>
      <c r="K692" s="276" t="s">
        <v>1087</v>
      </c>
      <c r="L692" s="33">
        <v>1</v>
      </c>
      <c r="M692" s="157" t="s">
        <v>2533</v>
      </c>
      <c r="N692" s="157"/>
      <c r="O692" s="157" t="s">
        <v>553</v>
      </c>
      <c r="P692" s="306" t="s">
        <v>2535</v>
      </c>
    </row>
    <row r="693" s="93" customFormat="1" ht="20.1" customHeight="1" spans="1:16">
      <c r="A693" s="263" t="s">
        <v>555</v>
      </c>
      <c r="B693" s="297" t="s">
        <v>319</v>
      </c>
      <c r="C693" s="265">
        <f t="shared" ref="C693:I693" si="146">SUM(C694)</f>
        <v>1052</v>
      </c>
      <c r="D693" s="265">
        <f t="shared" si="130"/>
        <v>1198</v>
      </c>
      <c r="E693" s="265">
        <f t="shared" si="146"/>
        <v>0</v>
      </c>
      <c r="F693" s="265">
        <f t="shared" si="146"/>
        <v>0</v>
      </c>
      <c r="G693" s="265">
        <f t="shared" si="146"/>
        <v>651</v>
      </c>
      <c r="H693" s="265">
        <f t="shared" si="146"/>
        <v>0</v>
      </c>
      <c r="I693" s="265">
        <f t="shared" si="146"/>
        <v>547</v>
      </c>
      <c r="J693" s="298">
        <f t="shared" si="144"/>
        <v>113.88</v>
      </c>
      <c r="K693" s="284" t="s">
        <v>1082</v>
      </c>
      <c r="L693" s="285"/>
      <c r="M693" s="263" t="s">
        <v>555</v>
      </c>
      <c r="N693" s="263" t="s">
        <v>532</v>
      </c>
      <c r="O693" s="263" t="s">
        <v>555</v>
      </c>
      <c r="P693" s="286" t="s">
        <v>2536</v>
      </c>
    </row>
    <row r="694" s="92" customFormat="1" ht="20.1" customHeight="1" spans="1:16">
      <c r="A694" s="636" t="s">
        <v>2537</v>
      </c>
      <c r="B694" s="36" t="s">
        <v>2538</v>
      </c>
      <c r="C694" s="267">
        <v>1052</v>
      </c>
      <c r="D694" s="268">
        <f t="shared" si="130"/>
        <v>1198</v>
      </c>
      <c r="E694" s="267"/>
      <c r="F694" s="267"/>
      <c r="G694" s="267">
        <v>651</v>
      </c>
      <c r="H694" s="267"/>
      <c r="I694" s="287">
        <v>547</v>
      </c>
      <c r="J694" s="288">
        <f t="shared" si="144"/>
        <v>113.88</v>
      </c>
      <c r="K694" s="276"/>
      <c r="L694" s="33">
        <v>1</v>
      </c>
      <c r="M694" s="157" t="s">
        <v>2537</v>
      </c>
      <c r="N694" s="157" t="s">
        <v>532</v>
      </c>
      <c r="O694" s="157" t="s">
        <v>555</v>
      </c>
      <c r="P694" s="163" t="s">
        <v>2536</v>
      </c>
    </row>
    <row r="695" s="93" customFormat="1" ht="20.1" customHeight="1" spans="1:16">
      <c r="A695" s="154" t="s">
        <v>556</v>
      </c>
      <c r="B695" s="261" t="s">
        <v>320</v>
      </c>
      <c r="C695" s="262">
        <f t="shared" ref="C695:I695" si="147">C696+C701+C716+C720+C761+C732+C736+C741+C745+C749+C752+C776+C768+C773</f>
        <v>24138</v>
      </c>
      <c r="D695" s="262">
        <f t="shared" si="130"/>
        <v>21790</v>
      </c>
      <c r="E695" s="262">
        <f t="shared" si="147"/>
        <v>4766</v>
      </c>
      <c r="F695" s="262">
        <f t="shared" si="147"/>
        <v>0</v>
      </c>
      <c r="G695" s="262">
        <f t="shared" si="147"/>
        <v>3380</v>
      </c>
      <c r="H695" s="262">
        <f t="shared" si="147"/>
        <v>0</v>
      </c>
      <c r="I695" s="262">
        <f t="shared" si="147"/>
        <v>13644</v>
      </c>
      <c r="J695" s="279">
        <f t="shared" si="144"/>
        <v>90.27</v>
      </c>
      <c r="K695" s="280" t="s">
        <v>1081</v>
      </c>
      <c r="L695" s="281"/>
      <c r="M695" s="154" t="s">
        <v>556</v>
      </c>
      <c r="N695" s="154" t="s">
        <v>556</v>
      </c>
      <c r="O695" s="154" t="s">
        <v>556</v>
      </c>
      <c r="P695" s="307" t="s">
        <v>2539</v>
      </c>
    </row>
    <row r="696" s="93" customFormat="1" ht="20.1" customHeight="1" spans="1:16">
      <c r="A696" s="263" t="s">
        <v>557</v>
      </c>
      <c r="B696" s="297" t="s">
        <v>321</v>
      </c>
      <c r="C696" s="265">
        <f t="shared" ref="C696:I696" si="148">SUM(C697:C700)</f>
        <v>464</v>
      </c>
      <c r="D696" s="265">
        <f t="shared" si="130"/>
        <v>551</v>
      </c>
      <c r="E696" s="265">
        <f t="shared" si="148"/>
        <v>19</v>
      </c>
      <c r="F696" s="265">
        <f t="shared" si="148"/>
        <v>0</v>
      </c>
      <c r="G696" s="265">
        <f t="shared" si="148"/>
        <v>0</v>
      </c>
      <c r="H696" s="265">
        <f t="shared" si="148"/>
        <v>0</v>
      </c>
      <c r="I696" s="265">
        <f t="shared" si="148"/>
        <v>532</v>
      </c>
      <c r="J696" s="298">
        <f t="shared" si="144"/>
        <v>118.75</v>
      </c>
      <c r="K696" s="284" t="s">
        <v>1082</v>
      </c>
      <c r="L696" s="285"/>
      <c r="M696" s="263" t="s">
        <v>557</v>
      </c>
      <c r="N696" s="263" t="s">
        <v>556</v>
      </c>
      <c r="O696" s="263" t="s">
        <v>557</v>
      </c>
      <c r="P696" s="286" t="s">
        <v>2540</v>
      </c>
    </row>
    <row r="697" s="92" customFormat="1" ht="20.1" customHeight="1" spans="1:16">
      <c r="A697" s="157" t="s">
        <v>2541</v>
      </c>
      <c r="B697" s="36" t="s">
        <v>1086</v>
      </c>
      <c r="C697" s="267">
        <v>205</v>
      </c>
      <c r="D697" s="268">
        <f t="shared" ref="D697:D760" si="149">SUM(E697:I697)</f>
        <v>291</v>
      </c>
      <c r="E697" s="267"/>
      <c r="F697" s="267"/>
      <c r="G697" s="267"/>
      <c r="H697" s="267"/>
      <c r="I697" s="287">
        <v>291</v>
      </c>
      <c r="J697" s="288">
        <f t="shared" si="144"/>
        <v>141.95</v>
      </c>
      <c r="K697" s="276" t="s">
        <v>1087</v>
      </c>
      <c r="L697" s="33">
        <v>1</v>
      </c>
      <c r="M697" s="157" t="s">
        <v>2541</v>
      </c>
      <c r="N697" s="157"/>
      <c r="O697" s="157" t="s">
        <v>557</v>
      </c>
      <c r="P697" s="164" t="s">
        <v>1088</v>
      </c>
    </row>
    <row r="698" s="92" customFormat="1" ht="20.1" customHeight="1" spans="1:16">
      <c r="A698" s="157" t="s">
        <v>2542</v>
      </c>
      <c r="B698" s="36" t="s">
        <v>1090</v>
      </c>
      <c r="C698" s="267">
        <v>54</v>
      </c>
      <c r="D698" s="268">
        <f t="shared" si="149"/>
        <v>34</v>
      </c>
      <c r="E698" s="267"/>
      <c r="F698" s="267"/>
      <c r="G698" s="267"/>
      <c r="H698" s="267"/>
      <c r="I698" s="287">
        <v>34</v>
      </c>
      <c r="J698" s="288">
        <f t="shared" si="144"/>
        <v>62.96</v>
      </c>
      <c r="K698" s="276" t="s">
        <v>1087</v>
      </c>
      <c r="L698" s="33">
        <v>1</v>
      </c>
      <c r="M698" s="157" t="s">
        <v>2542</v>
      </c>
      <c r="N698" s="157"/>
      <c r="O698" s="157" t="s">
        <v>557</v>
      </c>
      <c r="P698" s="164" t="s">
        <v>1091</v>
      </c>
    </row>
    <row r="699" s="92" customFormat="1" ht="20.1" customHeight="1" spans="1:16">
      <c r="A699" s="157" t="s">
        <v>2543</v>
      </c>
      <c r="B699" s="36" t="s">
        <v>1093</v>
      </c>
      <c r="C699" s="267"/>
      <c r="D699" s="268">
        <f t="shared" si="149"/>
        <v>0</v>
      </c>
      <c r="E699" s="267"/>
      <c r="F699" s="267"/>
      <c r="G699" s="267"/>
      <c r="H699" s="267"/>
      <c r="I699" s="287"/>
      <c r="J699" s="288">
        <f t="shared" si="144"/>
        <v>0</v>
      </c>
      <c r="K699" s="276" t="s">
        <v>1087</v>
      </c>
      <c r="L699" s="33">
        <v>1</v>
      </c>
      <c r="M699" s="157" t="s">
        <v>2543</v>
      </c>
      <c r="N699" s="157"/>
      <c r="O699" s="157" t="s">
        <v>557</v>
      </c>
      <c r="P699" s="164" t="s">
        <v>1094</v>
      </c>
    </row>
    <row r="700" s="92" customFormat="1" ht="20.1" customHeight="1" spans="1:16">
      <c r="A700" s="157" t="s">
        <v>2544</v>
      </c>
      <c r="B700" s="36" t="s">
        <v>2545</v>
      </c>
      <c r="C700" s="267">
        <v>205</v>
      </c>
      <c r="D700" s="268">
        <f t="shared" si="149"/>
        <v>226</v>
      </c>
      <c r="E700" s="267">
        <v>19</v>
      </c>
      <c r="F700" s="267"/>
      <c r="G700" s="267"/>
      <c r="H700" s="267"/>
      <c r="I700" s="287">
        <v>207</v>
      </c>
      <c r="J700" s="288">
        <f t="shared" si="144"/>
        <v>110.24</v>
      </c>
      <c r="K700" s="276" t="s">
        <v>1087</v>
      </c>
      <c r="L700" s="33">
        <v>1</v>
      </c>
      <c r="M700" s="157" t="s">
        <v>2544</v>
      </c>
      <c r="N700" s="157"/>
      <c r="O700" s="157" t="s">
        <v>557</v>
      </c>
      <c r="P700" s="164" t="s">
        <v>2546</v>
      </c>
    </row>
    <row r="701" s="93" customFormat="1" ht="20.1" customHeight="1" spans="1:16">
      <c r="A701" s="263" t="s">
        <v>558</v>
      </c>
      <c r="B701" s="297" t="s">
        <v>322</v>
      </c>
      <c r="C701" s="265">
        <f t="shared" ref="C701:I701" si="150">SUM(C702:C715)</f>
        <v>2213</v>
      </c>
      <c r="D701" s="265">
        <f t="shared" si="149"/>
        <v>2209</v>
      </c>
      <c r="E701" s="265">
        <f t="shared" si="150"/>
        <v>74</v>
      </c>
      <c r="F701" s="265">
        <f t="shared" si="150"/>
        <v>0</v>
      </c>
      <c r="G701" s="265">
        <f t="shared" si="150"/>
        <v>254</v>
      </c>
      <c r="H701" s="265">
        <f t="shared" si="150"/>
        <v>0</v>
      </c>
      <c r="I701" s="265">
        <f t="shared" si="150"/>
        <v>1881</v>
      </c>
      <c r="J701" s="298">
        <f t="shared" si="144"/>
        <v>99.82</v>
      </c>
      <c r="K701" s="284" t="s">
        <v>1082</v>
      </c>
      <c r="L701" s="285"/>
      <c r="M701" s="263" t="s">
        <v>558</v>
      </c>
      <c r="N701" s="263" t="s">
        <v>556</v>
      </c>
      <c r="O701" s="263" t="s">
        <v>558</v>
      </c>
      <c r="P701" s="286" t="s">
        <v>2547</v>
      </c>
    </row>
    <row r="702" s="92" customFormat="1" ht="20.1" customHeight="1" spans="1:16">
      <c r="A702" s="157" t="s">
        <v>2548</v>
      </c>
      <c r="B702" s="36" t="s">
        <v>2549</v>
      </c>
      <c r="C702" s="267">
        <v>1036</v>
      </c>
      <c r="D702" s="268">
        <f t="shared" si="149"/>
        <v>1122</v>
      </c>
      <c r="E702" s="267"/>
      <c r="F702" s="267"/>
      <c r="G702" s="267"/>
      <c r="H702" s="267"/>
      <c r="I702" s="287">
        <v>1122</v>
      </c>
      <c r="J702" s="288">
        <f t="shared" si="144"/>
        <v>108.3</v>
      </c>
      <c r="K702" s="276" t="s">
        <v>1087</v>
      </c>
      <c r="L702" s="33">
        <v>1</v>
      </c>
      <c r="M702" s="157" t="s">
        <v>2548</v>
      </c>
      <c r="N702" s="157"/>
      <c r="O702" s="157" t="s">
        <v>558</v>
      </c>
      <c r="P702" s="163" t="s">
        <v>2550</v>
      </c>
    </row>
    <row r="703" s="92" customFormat="1" ht="20.1" customHeight="1" spans="1:16">
      <c r="A703" s="157" t="s">
        <v>2551</v>
      </c>
      <c r="B703" s="36" t="s">
        <v>2552</v>
      </c>
      <c r="C703" s="267">
        <v>1177</v>
      </c>
      <c r="D703" s="268">
        <f t="shared" si="149"/>
        <v>759</v>
      </c>
      <c r="E703" s="267"/>
      <c r="F703" s="267"/>
      <c r="G703" s="267">
        <v>1</v>
      </c>
      <c r="H703" s="267"/>
      <c r="I703" s="287">
        <v>758</v>
      </c>
      <c r="J703" s="288">
        <f t="shared" si="144"/>
        <v>64.49</v>
      </c>
      <c r="K703" s="276" t="s">
        <v>1087</v>
      </c>
      <c r="L703" s="33">
        <v>1</v>
      </c>
      <c r="M703" s="157" t="s">
        <v>2551</v>
      </c>
      <c r="N703" s="157"/>
      <c r="O703" s="157" t="s">
        <v>558</v>
      </c>
      <c r="P703" s="163" t="s">
        <v>2553</v>
      </c>
    </row>
    <row r="704" s="92" customFormat="1" ht="20.1" customHeight="1" spans="1:16">
      <c r="A704" s="157" t="s">
        <v>2554</v>
      </c>
      <c r="B704" s="36" t="s">
        <v>2555</v>
      </c>
      <c r="C704" s="267"/>
      <c r="D704" s="268">
        <f t="shared" si="149"/>
        <v>0</v>
      </c>
      <c r="E704" s="267"/>
      <c r="F704" s="267"/>
      <c r="G704" s="267"/>
      <c r="H704" s="267"/>
      <c r="I704" s="287"/>
      <c r="J704" s="288">
        <f t="shared" si="144"/>
        <v>0</v>
      </c>
      <c r="K704" s="276" t="s">
        <v>1087</v>
      </c>
      <c r="L704" s="33">
        <v>1</v>
      </c>
      <c r="M704" s="157" t="s">
        <v>2554</v>
      </c>
      <c r="N704" s="157"/>
      <c r="O704" s="157" t="s">
        <v>558</v>
      </c>
      <c r="P704" s="163" t="s">
        <v>2556</v>
      </c>
    </row>
    <row r="705" s="92" customFormat="1" ht="20.1" customHeight="1" spans="1:16">
      <c r="A705" s="157" t="s">
        <v>2557</v>
      </c>
      <c r="B705" s="36" t="s">
        <v>2558</v>
      </c>
      <c r="C705" s="267"/>
      <c r="D705" s="268">
        <f t="shared" si="149"/>
        <v>0</v>
      </c>
      <c r="E705" s="267"/>
      <c r="F705" s="267"/>
      <c r="G705" s="267"/>
      <c r="H705" s="267"/>
      <c r="I705" s="287"/>
      <c r="J705" s="288">
        <f t="shared" si="144"/>
        <v>0</v>
      </c>
      <c r="K705" s="276" t="s">
        <v>1087</v>
      </c>
      <c r="L705" s="33">
        <v>1</v>
      </c>
      <c r="M705" s="157" t="s">
        <v>2557</v>
      </c>
      <c r="N705" s="157"/>
      <c r="O705" s="157" t="s">
        <v>558</v>
      </c>
      <c r="P705" s="163" t="s">
        <v>2559</v>
      </c>
    </row>
    <row r="706" s="252" customFormat="1" ht="20.1" customHeight="1" spans="1:16">
      <c r="A706" s="157" t="s">
        <v>2560</v>
      </c>
      <c r="B706" s="36" t="s">
        <v>2561</v>
      </c>
      <c r="C706" s="267"/>
      <c r="D706" s="268">
        <f t="shared" si="149"/>
        <v>0</v>
      </c>
      <c r="E706" s="267"/>
      <c r="F706" s="267"/>
      <c r="G706" s="267"/>
      <c r="H706" s="267"/>
      <c r="I706" s="287"/>
      <c r="J706" s="288">
        <f t="shared" si="144"/>
        <v>0</v>
      </c>
      <c r="K706" s="276" t="s">
        <v>1087</v>
      </c>
      <c r="L706" s="33">
        <v>1</v>
      </c>
      <c r="M706" s="157" t="s">
        <v>2560</v>
      </c>
      <c r="N706" s="157"/>
      <c r="O706" s="157" t="s">
        <v>558</v>
      </c>
      <c r="P706" s="163" t="s">
        <v>2562</v>
      </c>
    </row>
    <row r="707" s="252" customFormat="1" ht="20.1" customHeight="1" spans="1:16">
      <c r="A707" s="157" t="s">
        <v>2563</v>
      </c>
      <c r="B707" s="36" t="s">
        <v>2564</v>
      </c>
      <c r="C707" s="267"/>
      <c r="D707" s="268">
        <f t="shared" si="149"/>
        <v>5</v>
      </c>
      <c r="E707" s="267"/>
      <c r="F707" s="267"/>
      <c r="G707" s="267">
        <v>5</v>
      </c>
      <c r="H707" s="267"/>
      <c r="I707" s="287"/>
      <c r="J707" s="288">
        <f t="shared" si="144"/>
        <v>100</v>
      </c>
      <c r="K707" s="276" t="s">
        <v>1087</v>
      </c>
      <c r="L707" s="33">
        <v>1</v>
      </c>
      <c r="M707" s="157" t="s">
        <v>2563</v>
      </c>
      <c r="N707" s="157"/>
      <c r="O707" s="157" t="s">
        <v>558</v>
      </c>
      <c r="P707" s="163" t="s">
        <v>2565</v>
      </c>
    </row>
    <row r="708" s="252" customFormat="1" ht="20.1" customHeight="1" spans="1:16">
      <c r="A708" s="157" t="s">
        <v>2566</v>
      </c>
      <c r="B708" s="36" t="s">
        <v>2567</v>
      </c>
      <c r="C708" s="267"/>
      <c r="D708" s="268">
        <f t="shared" si="149"/>
        <v>0</v>
      </c>
      <c r="E708" s="267"/>
      <c r="F708" s="267"/>
      <c r="G708" s="267"/>
      <c r="H708" s="267"/>
      <c r="I708" s="287"/>
      <c r="J708" s="288">
        <f t="shared" si="144"/>
        <v>0</v>
      </c>
      <c r="K708" s="276" t="s">
        <v>1087</v>
      </c>
      <c r="L708" s="33">
        <v>1</v>
      </c>
      <c r="M708" s="157" t="s">
        <v>2566</v>
      </c>
      <c r="N708" s="157"/>
      <c r="O708" s="157" t="s">
        <v>558</v>
      </c>
      <c r="P708" s="163" t="s">
        <v>2568</v>
      </c>
    </row>
    <row r="709" s="92" customFormat="1" ht="20.1" customHeight="1" spans="1:16">
      <c r="A709" s="157" t="s">
        <v>2569</v>
      </c>
      <c r="B709" s="36" t="s">
        <v>2570</v>
      </c>
      <c r="C709" s="267"/>
      <c r="D709" s="268">
        <f t="shared" si="149"/>
        <v>0</v>
      </c>
      <c r="E709" s="267"/>
      <c r="F709" s="267"/>
      <c r="G709" s="267"/>
      <c r="H709" s="267"/>
      <c r="I709" s="287"/>
      <c r="J709" s="288">
        <f t="shared" si="144"/>
        <v>0</v>
      </c>
      <c r="K709" s="276" t="s">
        <v>1087</v>
      </c>
      <c r="L709" s="33">
        <v>1</v>
      </c>
      <c r="M709" s="157" t="s">
        <v>2569</v>
      </c>
      <c r="N709" s="157"/>
      <c r="O709" s="157" t="s">
        <v>558</v>
      </c>
      <c r="P709" s="163" t="s">
        <v>2571</v>
      </c>
    </row>
    <row r="710" s="92" customFormat="1" ht="20.1" customHeight="1" spans="1:16">
      <c r="A710" s="157" t="s">
        <v>2572</v>
      </c>
      <c r="B710" s="36" t="s">
        <v>2573</v>
      </c>
      <c r="C710" s="267"/>
      <c r="D710" s="268">
        <f t="shared" si="149"/>
        <v>0</v>
      </c>
      <c r="E710" s="267"/>
      <c r="F710" s="267"/>
      <c r="G710" s="267"/>
      <c r="H710" s="267"/>
      <c r="I710" s="287"/>
      <c r="J710" s="288">
        <f t="shared" si="144"/>
        <v>0</v>
      </c>
      <c r="K710" s="276" t="s">
        <v>1087</v>
      </c>
      <c r="L710" s="33">
        <v>1</v>
      </c>
      <c r="M710" s="157" t="s">
        <v>2572</v>
      </c>
      <c r="N710" s="157"/>
      <c r="O710" s="157" t="s">
        <v>558</v>
      </c>
      <c r="P710" s="163" t="s">
        <v>2574</v>
      </c>
    </row>
    <row r="711" s="92" customFormat="1" ht="20.1" customHeight="1" spans="1:16">
      <c r="A711" s="157" t="s">
        <v>2575</v>
      </c>
      <c r="B711" s="36" t="s">
        <v>2576</v>
      </c>
      <c r="C711" s="267"/>
      <c r="D711" s="268">
        <f t="shared" si="149"/>
        <v>0</v>
      </c>
      <c r="E711" s="267"/>
      <c r="F711" s="267"/>
      <c r="G711" s="267"/>
      <c r="H711" s="267"/>
      <c r="I711" s="287"/>
      <c r="J711" s="288">
        <f t="shared" si="144"/>
        <v>0</v>
      </c>
      <c r="K711" s="276" t="s">
        <v>1087</v>
      </c>
      <c r="L711" s="33">
        <v>1</v>
      </c>
      <c r="M711" s="157" t="s">
        <v>2575</v>
      </c>
      <c r="N711" s="157"/>
      <c r="O711" s="157" t="s">
        <v>558</v>
      </c>
      <c r="P711" s="163" t="s">
        <v>2577</v>
      </c>
    </row>
    <row r="712" s="92" customFormat="1" ht="20.1" customHeight="1" spans="1:16">
      <c r="A712" s="157" t="s">
        <v>2578</v>
      </c>
      <c r="B712" s="36" t="s">
        <v>2579</v>
      </c>
      <c r="C712" s="267"/>
      <c r="D712" s="268">
        <f t="shared" si="149"/>
        <v>0</v>
      </c>
      <c r="E712" s="267"/>
      <c r="F712" s="267"/>
      <c r="G712" s="267"/>
      <c r="H712" s="267"/>
      <c r="I712" s="287"/>
      <c r="J712" s="288">
        <f t="shared" si="144"/>
        <v>0</v>
      </c>
      <c r="K712" s="276" t="s">
        <v>1087</v>
      </c>
      <c r="L712" s="33">
        <v>1</v>
      </c>
      <c r="M712" s="157" t="s">
        <v>2578</v>
      </c>
      <c r="N712" s="157"/>
      <c r="O712" s="157" t="s">
        <v>558</v>
      </c>
      <c r="P712" s="163" t="s">
        <v>2580</v>
      </c>
    </row>
    <row r="713" s="92" customFormat="1" ht="20.1" customHeight="1" spans="1:16">
      <c r="A713" s="157" t="s">
        <v>2581</v>
      </c>
      <c r="B713" s="36" t="s">
        <v>2582</v>
      </c>
      <c r="C713" s="267"/>
      <c r="D713" s="268">
        <f t="shared" si="149"/>
        <v>0</v>
      </c>
      <c r="E713" s="267"/>
      <c r="F713" s="267"/>
      <c r="G713" s="267"/>
      <c r="H713" s="267"/>
      <c r="I713" s="287"/>
      <c r="J713" s="288"/>
      <c r="K713" s="276" t="s">
        <v>1087</v>
      </c>
      <c r="L713" s="33">
        <v>1</v>
      </c>
      <c r="M713" s="157" t="s">
        <v>2581</v>
      </c>
      <c r="N713" s="157"/>
      <c r="O713" s="157" t="s">
        <v>558</v>
      </c>
      <c r="P713" s="36" t="s">
        <v>2583</v>
      </c>
    </row>
    <row r="714" s="92" customFormat="1" ht="20.1" customHeight="1" spans="1:16">
      <c r="A714" s="157" t="s">
        <v>2584</v>
      </c>
      <c r="B714" s="36" t="s">
        <v>2585</v>
      </c>
      <c r="C714" s="267"/>
      <c r="D714" s="268">
        <f t="shared" si="149"/>
        <v>0</v>
      </c>
      <c r="E714" s="267"/>
      <c r="F714" s="267"/>
      <c r="G714" s="267"/>
      <c r="H714" s="267"/>
      <c r="I714" s="287"/>
      <c r="J714" s="288"/>
      <c r="K714" s="276" t="s">
        <v>1087</v>
      </c>
      <c r="L714" s="33">
        <v>1</v>
      </c>
      <c r="M714" s="157" t="s">
        <v>2584</v>
      </c>
      <c r="N714" s="157"/>
      <c r="O714" s="157" t="s">
        <v>558</v>
      </c>
      <c r="P714" s="36" t="s">
        <v>2586</v>
      </c>
    </row>
    <row r="715" s="92" customFormat="1" ht="20.1" customHeight="1" spans="1:16">
      <c r="A715" s="157" t="s">
        <v>2587</v>
      </c>
      <c r="B715" s="36" t="s">
        <v>2588</v>
      </c>
      <c r="C715" s="267"/>
      <c r="D715" s="268">
        <f t="shared" si="149"/>
        <v>323</v>
      </c>
      <c r="E715" s="267">
        <v>74</v>
      </c>
      <c r="F715" s="267"/>
      <c r="G715" s="267">
        <v>248</v>
      </c>
      <c r="H715" s="267"/>
      <c r="I715" s="287">
        <v>1</v>
      </c>
      <c r="J715" s="288">
        <f t="shared" ref="J715:J762" si="151">ROUND(IF(C715=0,IF(D715=0,0,1),IF(D715=0,-1,D715/C715)),4)*100</f>
        <v>100</v>
      </c>
      <c r="K715" s="276" t="s">
        <v>1087</v>
      </c>
      <c r="L715" s="33">
        <v>1</v>
      </c>
      <c r="M715" s="157" t="s">
        <v>2587</v>
      </c>
      <c r="N715" s="157"/>
      <c r="O715" s="157" t="s">
        <v>558</v>
      </c>
      <c r="P715" s="163" t="s">
        <v>2589</v>
      </c>
    </row>
    <row r="716" s="93" customFormat="1" ht="20.1" customHeight="1" spans="1:16">
      <c r="A716" s="263" t="s">
        <v>559</v>
      </c>
      <c r="B716" s="297" t="s">
        <v>323</v>
      </c>
      <c r="C716" s="265">
        <f t="shared" ref="C716:I716" si="152">SUM(C717:C719)</f>
        <v>3565</v>
      </c>
      <c r="D716" s="265">
        <f t="shared" si="149"/>
        <v>4618</v>
      </c>
      <c r="E716" s="265">
        <f t="shared" si="152"/>
        <v>502</v>
      </c>
      <c r="F716" s="265">
        <f t="shared" si="152"/>
        <v>0</v>
      </c>
      <c r="G716" s="265">
        <f t="shared" si="152"/>
        <v>860</v>
      </c>
      <c r="H716" s="265">
        <f t="shared" si="152"/>
        <v>0</v>
      </c>
      <c r="I716" s="265">
        <f t="shared" si="152"/>
        <v>3256</v>
      </c>
      <c r="J716" s="298">
        <f t="shared" si="151"/>
        <v>129.54</v>
      </c>
      <c r="K716" s="284" t="s">
        <v>1082</v>
      </c>
      <c r="L716" s="285"/>
      <c r="M716" s="263" t="s">
        <v>559</v>
      </c>
      <c r="N716" s="263" t="s">
        <v>556</v>
      </c>
      <c r="O716" s="263" t="s">
        <v>559</v>
      </c>
      <c r="P716" s="286" t="s">
        <v>2590</v>
      </c>
    </row>
    <row r="717" s="252" customFormat="1" ht="20.1" customHeight="1" spans="1:16">
      <c r="A717" s="157" t="s">
        <v>2591</v>
      </c>
      <c r="B717" s="36" t="s">
        <v>2592</v>
      </c>
      <c r="C717" s="267"/>
      <c r="D717" s="268">
        <f t="shared" si="149"/>
        <v>0</v>
      </c>
      <c r="E717" s="267"/>
      <c r="F717" s="267"/>
      <c r="G717" s="267"/>
      <c r="H717" s="267"/>
      <c r="I717" s="287"/>
      <c r="J717" s="288">
        <f t="shared" si="151"/>
        <v>0</v>
      </c>
      <c r="K717" s="276" t="s">
        <v>1087</v>
      </c>
      <c r="L717" s="33">
        <v>1</v>
      </c>
      <c r="M717" s="157" t="s">
        <v>2591</v>
      </c>
      <c r="N717" s="157"/>
      <c r="O717" s="157" t="s">
        <v>559</v>
      </c>
      <c r="P717" s="163" t="s">
        <v>2593</v>
      </c>
    </row>
    <row r="718" s="252" customFormat="1" ht="20.1" customHeight="1" spans="1:16">
      <c r="A718" s="157" t="s">
        <v>2594</v>
      </c>
      <c r="B718" s="36" t="s">
        <v>2595</v>
      </c>
      <c r="C718" s="267">
        <v>2610</v>
      </c>
      <c r="D718" s="268">
        <f t="shared" si="149"/>
        <v>2752</v>
      </c>
      <c r="E718" s="267"/>
      <c r="F718" s="267"/>
      <c r="G718" s="267"/>
      <c r="H718" s="267"/>
      <c r="I718" s="287">
        <v>2752</v>
      </c>
      <c r="J718" s="288">
        <f t="shared" si="151"/>
        <v>105.44</v>
      </c>
      <c r="K718" s="276" t="s">
        <v>1087</v>
      </c>
      <c r="L718" s="33">
        <v>1</v>
      </c>
      <c r="M718" s="157" t="s">
        <v>2594</v>
      </c>
      <c r="N718" s="157"/>
      <c r="O718" s="157" t="s">
        <v>559</v>
      </c>
      <c r="P718" s="163" t="s">
        <v>2596</v>
      </c>
    </row>
    <row r="719" s="252" customFormat="1" ht="20.1" customHeight="1" spans="1:16">
      <c r="A719" s="157" t="s">
        <v>2597</v>
      </c>
      <c r="B719" s="36" t="s">
        <v>2598</v>
      </c>
      <c r="C719" s="267">
        <v>955</v>
      </c>
      <c r="D719" s="268">
        <f t="shared" si="149"/>
        <v>1866</v>
      </c>
      <c r="E719" s="267">
        <v>502</v>
      </c>
      <c r="F719" s="267"/>
      <c r="G719" s="267">
        <v>860</v>
      </c>
      <c r="H719" s="267"/>
      <c r="I719" s="287">
        <v>504</v>
      </c>
      <c r="J719" s="288">
        <f t="shared" si="151"/>
        <v>195.39</v>
      </c>
      <c r="K719" s="276" t="s">
        <v>1087</v>
      </c>
      <c r="L719" s="33">
        <v>1</v>
      </c>
      <c r="M719" s="157" t="s">
        <v>2597</v>
      </c>
      <c r="N719" s="157"/>
      <c r="O719" s="157" t="s">
        <v>559</v>
      </c>
      <c r="P719" s="163" t="s">
        <v>2599</v>
      </c>
    </row>
    <row r="720" s="93" customFormat="1" ht="20.1" customHeight="1" spans="1:16">
      <c r="A720" s="263" t="s">
        <v>560</v>
      </c>
      <c r="B720" s="297" t="s">
        <v>324</v>
      </c>
      <c r="C720" s="265">
        <f t="shared" ref="C720:I720" si="153">SUM(C721:C731)</f>
        <v>4504</v>
      </c>
      <c r="D720" s="265">
        <f t="shared" si="149"/>
        <v>2528</v>
      </c>
      <c r="E720" s="265">
        <f t="shared" si="153"/>
        <v>101</v>
      </c>
      <c r="F720" s="265">
        <f t="shared" si="153"/>
        <v>0</v>
      </c>
      <c r="G720" s="265">
        <f t="shared" si="153"/>
        <v>949</v>
      </c>
      <c r="H720" s="265">
        <f t="shared" si="153"/>
        <v>0</v>
      </c>
      <c r="I720" s="265">
        <f t="shared" si="153"/>
        <v>1478</v>
      </c>
      <c r="J720" s="298">
        <f t="shared" si="151"/>
        <v>56.13</v>
      </c>
      <c r="K720" s="284" t="s">
        <v>1082</v>
      </c>
      <c r="L720" s="285"/>
      <c r="M720" s="263" t="s">
        <v>560</v>
      </c>
      <c r="N720" s="263" t="s">
        <v>556</v>
      </c>
      <c r="O720" s="263" t="s">
        <v>560</v>
      </c>
      <c r="P720" s="286" t="s">
        <v>2600</v>
      </c>
    </row>
    <row r="721" s="252" customFormat="1" ht="20.1" customHeight="1" spans="1:16">
      <c r="A721" s="157" t="s">
        <v>2601</v>
      </c>
      <c r="B721" s="36" t="s">
        <v>2602</v>
      </c>
      <c r="C721" s="267">
        <v>418</v>
      </c>
      <c r="D721" s="268">
        <f t="shared" si="149"/>
        <v>377</v>
      </c>
      <c r="E721" s="267"/>
      <c r="F721" s="267"/>
      <c r="G721" s="267"/>
      <c r="H721" s="267"/>
      <c r="I721" s="287">
        <v>377</v>
      </c>
      <c r="J721" s="288">
        <f t="shared" si="151"/>
        <v>90.19</v>
      </c>
      <c r="K721" s="276" t="s">
        <v>1087</v>
      </c>
      <c r="L721" s="33">
        <v>1</v>
      </c>
      <c r="M721" s="157" t="s">
        <v>2601</v>
      </c>
      <c r="N721" s="157"/>
      <c r="O721" s="157" t="s">
        <v>560</v>
      </c>
      <c r="P721" s="163" t="s">
        <v>2603</v>
      </c>
    </row>
    <row r="722" s="252" customFormat="1" ht="20.1" customHeight="1" spans="1:16">
      <c r="A722" s="157" t="s">
        <v>2604</v>
      </c>
      <c r="B722" s="36" t="s">
        <v>2605</v>
      </c>
      <c r="C722" s="267">
        <v>84</v>
      </c>
      <c r="D722" s="268">
        <f t="shared" si="149"/>
        <v>58</v>
      </c>
      <c r="E722" s="267"/>
      <c r="F722" s="267"/>
      <c r="G722" s="267">
        <v>4</v>
      </c>
      <c r="H722" s="267"/>
      <c r="I722" s="287">
        <v>54</v>
      </c>
      <c r="J722" s="288">
        <f t="shared" si="151"/>
        <v>69.05</v>
      </c>
      <c r="K722" s="276" t="s">
        <v>1087</v>
      </c>
      <c r="L722" s="33">
        <v>1</v>
      </c>
      <c r="M722" s="157" t="s">
        <v>2604</v>
      </c>
      <c r="N722" s="157"/>
      <c r="O722" s="157" t="s">
        <v>560</v>
      </c>
      <c r="P722" s="163" t="s">
        <v>2606</v>
      </c>
    </row>
    <row r="723" s="252" customFormat="1" ht="20.1" customHeight="1" spans="1:16">
      <c r="A723" s="157" t="s">
        <v>2607</v>
      </c>
      <c r="B723" s="36" t="s">
        <v>2608</v>
      </c>
      <c r="C723" s="267">
        <v>802</v>
      </c>
      <c r="D723" s="268">
        <f t="shared" si="149"/>
        <v>851</v>
      </c>
      <c r="E723" s="267"/>
      <c r="F723" s="267"/>
      <c r="G723" s="267"/>
      <c r="H723" s="267"/>
      <c r="I723" s="287">
        <v>851</v>
      </c>
      <c r="J723" s="288">
        <f t="shared" si="151"/>
        <v>106.11</v>
      </c>
      <c r="K723" s="276" t="s">
        <v>1087</v>
      </c>
      <c r="L723" s="33">
        <v>1</v>
      </c>
      <c r="M723" s="157" t="s">
        <v>2607</v>
      </c>
      <c r="N723" s="157"/>
      <c r="O723" s="157" t="s">
        <v>560</v>
      </c>
      <c r="P723" s="163" t="s">
        <v>2609</v>
      </c>
    </row>
    <row r="724" s="252" customFormat="1" ht="20.1" customHeight="1" spans="1:16">
      <c r="A724" s="157" t="s">
        <v>2610</v>
      </c>
      <c r="B724" s="36" t="s">
        <v>2611</v>
      </c>
      <c r="C724" s="267"/>
      <c r="D724" s="268">
        <f t="shared" si="149"/>
        <v>0</v>
      </c>
      <c r="E724" s="267"/>
      <c r="F724" s="267"/>
      <c r="G724" s="267"/>
      <c r="H724" s="267"/>
      <c r="I724" s="287"/>
      <c r="J724" s="288">
        <f t="shared" si="151"/>
        <v>0</v>
      </c>
      <c r="K724" s="276" t="s">
        <v>1087</v>
      </c>
      <c r="L724" s="33">
        <v>1</v>
      </c>
      <c r="M724" s="157" t="s">
        <v>2610</v>
      </c>
      <c r="N724" s="157"/>
      <c r="O724" s="157" t="s">
        <v>560</v>
      </c>
      <c r="P724" s="163" t="s">
        <v>2612</v>
      </c>
    </row>
    <row r="725" s="252" customFormat="1" ht="20.1" customHeight="1" spans="1:16">
      <c r="A725" s="157" t="s">
        <v>2613</v>
      </c>
      <c r="B725" s="36" t="s">
        <v>2614</v>
      </c>
      <c r="C725" s="267"/>
      <c r="D725" s="268">
        <f t="shared" si="149"/>
        <v>0</v>
      </c>
      <c r="E725" s="267"/>
      <c r="F725" s="267"/>
      <c r="G725" s="267"/>
      <c r="H725" s="267"/>
      <c r="I725" s="287"/>
      <c r="J725" s="288">
        <f t="shared" si="151"/>
        <v>0</v>
      </c>
      <c r="K725" s="276" t="s">
        <v>1087</v>
      </c>
      <c r="L725" s="33">
        <v>1</v>
      </c>
      <c r="M725" s="157" t="s">
        <v>2613</v>
      </c>
      <c r="N725" s="157"/>
      <c r="O725" s="157" t="s">
        <v>560</v>
      </c>
      <c r="P725" s="163" t="s">
        <v>2615</v>
      </c>
    </row>
    <row r="726" s="92" customFormat="1" ht="20.1" customHeight="1" spans="1:16">
      <c r="A726" s="157" t="s">
        <v>2616</v>
      </c>
      <c r="B726" s="36" t="s">
        <v>2617</v>
      </c>
      <c r="C726" s="267"/>
      <c r="D726" s="268">
        <f t="shared" si="149"/>
        <v>0</v>
      </c>
      <c r="E726" s="267"/>
      <c r="F726" s="267"/>
      <c r="G726" s="267"/>
      <c r="H726" s="267"/>
      <c r="I726" s="287"/>
      <c r="J726" s="288">
        <f t="shared" si="151"/>
        <v>0</v>
      </c>
      <c r="K726" s="276" t="s">
        <v>1087</v>
      </c>
      <c r="L726" s="33">
        <v>1</v>
      </c>
      <c r="M726" s="157" t="s">
        <v>2616</v>
      </c>
      <c r="N726" s="157"/>
      <c r="O726" s="157" t="s">
        <v>560</v>
      </c>
      <c r="P726" s="163" t="s">
        <v>2618</v>
      </c>
    </row>
    <row r="727" s="92" customFormat="1" ht="20.1" customHeight="1" spans="1:16">
      <c r="A727" s="157" t="s">
        <v>2619</v>
      </c>
      <c r="B727" s="36" t="s">
        <v>2620</v>
      </c>
      <c r="C727" s="267"/>
      <c r="D727" s="268">
        <f t="shared" si="149"/>
        <v>0</v>
      </c>
      <c r="E727" s="267"/>
      <c r="F727" s="267"/>
      <c r="G727" s="267"/>
      <c r="H727" s="267"/>
      <c r="I727" s="287"/>
      <c r="J727" s="288">
        <f t="shared" si="151"/>
        <v>0</v>
      </c>
      <c r="K727" s="276" t="s">
        <v>1087</v>
      </c>
      <c r="L727" s="33">
        <v>1</v>
      </c>
      <c r="M727" s="157" t="s">
        <v>2619</v>
      </c>
      <c r="N727" s="157"/>
      <c r="O727" s="157" t="s">
        <v>560</v>
      </c>
      <c r="P727" s="163" t="s">
        <v>2621</v>
      </c>
    </row>
    <row r="728" s="92" customFormat="1" ht="20.1" customHeight="1" spans="1:16">
      <c r="A728" s="157" t="s">
        <v>2622</v>
      </c>
      <c r="B728" s="36" t="s">
        <v>2623</v>
      </c>
      <c r="C728" s="267">
        <v>2978</v>
      </c>
      <c r="D728" s="268">
        <f t="shared" si="149"/>
        <v>690</v>
      </c>
      <c r="E728" s="267"/>
      <c r="F728" s="267"/>
      <c r="G728" s="267">
        <v>535</v>
      </c>
      <c r="H728" s="267"/>
      <c r="I728" s="287">
        <v>155</v>
      </c>
      <c r="J728" s="288">
        <f t="shared" si="151"/>
        <v>23.17</v>
      </c>
      <c r="K728" s="276" t="s">
        <v>1087</v>
      </c>
      <c r="L728" s="33">
        <v>1</v>
      </c>
      <c r="M728" s="157" t="s">
        <v>2622</v>
      </c>
      <c r="N728" s="157"/>
      <c r="O728" s="157" t="s">
        <v>560</v>
      </c>
      <c r="P728" s="163" t="s">
        <v>2624</v>
      </c>
    </row>
    <row r="729" s="92" customFormat="1" ht="20.1" customHeight="1" spans="1:16">
      <c r="A729" s="157" t="s">
        <v>2625</v>
      </c>
      <c r="B729" s="36" t="s">
        <v>2626</v>
      </c>
      <c r="C729" s="267">
        <v>134</v>
      </c>
      <c r="D729" s="268">
        <f t="shared" si="149"/>
        <v>289</v>
      </c>
      <c r="E729" s="267"/>
      <c r="F729" s="267"/>
      <c r="G729" s="267">
        <v>248</v>
      </c>
      <c r="H729" s="267"/>
      <c r="I729" s="287">
        <v>41</v>
      </c>
      <c r="J729" s="288">
        <f t="shared" si="151"/>
        <v>215.67</v>
      </c>
      <c r="K729" s="276" t="s">
        <v>1087</v>
      </c>
      <c r="L729" s="33">
        <v>1</v>
      </c>
      <c r="M729" s="157" t="s">
        <v>2625</v>
      </c>
      <c r="N729" s="157"/>
      <c r="O729" s="157" t="s">
        <v>560</v>
      </c>
      <c r="P729" s="163" t="s">
        <v>2627</v>
      </c>
    </row>
    <row r="730" s="92" customFormat="1" ht="20.1" customHeight="1" spans="1:16">
      <c r="A730" s="157" t="s">
        <v>2628</v>
      </c>
      <c r="B730" s="36" t="s">
        <v>2629</v>
      </c>
      <c r="C730" s="267">
        <v>88</v>
      </c>
      <c r="D730" s="268">
        <f t="shared" si="149"/>
        <v>0</v>
      </c>
      <c r="E730" s="267"/>
      <c r="F730" s="267"/>
      <c r="G730" s="267"/>
      <c r="H730" s="267"/>
      <c r="I730" s="287"/>
      <c r="J730" s="288">
        <f t="shared" si="151"/>
        <v>-100</v>
      </c>
      <c r="K730" s="276" t="s">
        <v>1087</v>
      </c>
      <c r="L730" s="33">
        <v>1</v>
      </c>
      <c r="M730" s="157" t="s">
        <v>2628</v>
      </c>
      <c r="N730" s="157"/>
      <c r="O730" s="157" t="s">
        <v>560</v>
      </c>
      <c r="P730" s="163" t="s">
        <v>2630</v>
      </c>
    </row>
    <row r="731" s="92" customFormat="1" ht="20.1" customHeight="1" spans="1:16">
      <c r="A731" s="157" t="s">
        <v>2631</v>
      </c>
      <c r="B731" s="36" t="s">
        <v>2632</v>
      </c>
      <c r="C731" s="267"/>
      <c r="D731" s="268">
        <f t="shared" si="149"/>
        <v>263</v>
      </c>
      <c r="E731" s="267">
        <v>101</v>
      </c>
      <c r="F731" s="267"/>
      <c r="G731" s="267">
        <v>162</v>
      </c>
      <c r="H731" s="267"/>
      <c r="I731" s="287"/>
      <c r="J731" s="288">
        <f t="shared" si="151"/>
        <v>100</v>
      </c>
      <c r="K731" s="276" t="s">
        <v>1087</v>
      </c>
      <c r="L731" s="33">
        <v>1</v>
      </c>
      <c r="M731" s="157" t="s">
        <v>2631</v>
      </c>
      <c r="N731" s="157"/>
      <c r="O731" s="157" t="s">
        <v>560</v>
      </c>
      <c r="P731" s="163" t="s">
        <v>2633</v>
      </c>
    </row>
    <row r="732" s="93" customFormat="1" ht="20.1" customHeight="1" spans="1:16">
      <c r="A732" s="263" t="s">
        <v>561</v>
      </c>
      <c r="B732" s="297" t="s">
        <v>325</v>
      </c>
      <c r="C732" s="265">
        <f t="shared" ref="C732:I732" si="154">SUM(C733:C735)</f>
        <v>3161</v>
      </c>
      <c r="D732" s="265">
        <f t="shared" si="149"/>
        <v>2707</v>
      </c>
      <c r="E732" s="265">
        <f t="shared" si="154"/>
        <v>695</v>
      </c>
      <c r="F732" s="265">
        <f t="shared" si="154"/>
        <v>0</v>
      </c>
      <c r="G732" s="265">
        <f t="shared" si="154"/>
        <v>152</v>
      </c>
      <c r="H732" s="265">
        <f t="shared" si="154"/>
        <v>0</v>
      </c>
      <c r="I732" s="265">
        <f t="shared" si="154"/>
        <v>1860</v>
      </c>
      <c r="J732" s="298">
        <f t="shared" si="151"/>
        <v>85.64</v>
      </c>
      <c r="K732" s="284" t="s">
        <v>1082</v>
      </c>
      <c r="L732" s="285"/>
      <c r="M732" s="263" t="s">
        <v>561</v>
      </c>
      <c r="N732" s="263" t="s">
        <v>556</v>
      </c>
      <c r="O732" s="263" t="s">
        <v>561</v>
      </c>
      <c r="P732" s="286" t="s">
        <v>2634</v>
      </c>
    </row>
    <row r="733" s="92" customFormat="1" ht="20.1" customHeight="1" spans="1:16">
      <c r="A733" s="157" t="s">
        <v>2635</v>
      </c>
      <c r="B733" s="36" t="s">
        <v>2636</v>
      </c>
      <c r="C733" s="267">
        <v>486</v>
      </c>
      <c r="D733" s="268">
        <f t="shared" si="149"/>
        <v>0</v>
      </c>
      <c r="E733" s="267"/>
      <c r="F733" s="267"/>
      <c r="G733" s="267"/>
      <c r="H733" s="267"/>
      <c r="I733" s="287"/>
      <c r="J733" s="288">
        <f t="shared" si="151"/>
        <v>-100</v>
      </c>
      <c r="K733" s="276" t="s">
        <v>1087</v>
      </c>
      <c r="L733" s="33">
        <v>1</v>
      </c>
      <c r="M733" s="157" t="s">
        <v>2635</v>
      </c>
      <c r="N733" s="157"/>
      <c r="O733" s="157" t="s">
        <v>561</v>
      </c>
      <c r="P733" s="163" t="s">
        <v>2637</v>
      </c>
    </row>
    <row r="734" s="92" customFormat="1" ht="20.1" customHeight="1" spans="1:16">
      <c r="A734" s="157" t="s">
        <v>2638</v>
      </c>
      <c r="B734" s="36" t="s">
        <v>2639</v>
      </c>
      <c r="C734" s="267">
        <v>1980</v>
      </c>
      <c r="D734" s="268">
        <f t="shared" si="149"/>
        <v>126</v>
      </c>
      <c r="E734" s="267"/>
      <c r="F734" s="267"/>
      <c r="G734" s="267">
        <v>88</v>
      </c>
      <c r="H734" s="267"/>
      <c r="I734" s="287">
        <v>38</v>
      </c>
      <c r="J734" s="288">
        <f t="shared" si="151"/>
        <v>6.36</v>
      </c>
      <c r="K734" s="276" t="s">
        <v>1087</v>
      </c>
      <c r="L734" s="33">
        <v>1</v>
      </c>
      <c r="M734" s="157" t="s">
        <v>2638</v>
      </c>
      <c r="N734" s="157"/>
      <c r="O734" s="157" t="s">
        <v>561</v>
      </c>
      <c r="P734" s="163" t="s">
        <v>2640</v>
      </c>
    </row>
    <row r="735" s="92" customFormat="1" ht="20.1" customHeight="1" spans="1:16">
      <c r="A735" s="157" t="s">
        <v>2641</v>
      </c>
      <c r="B735" s="36" t="s">
        <v>2642</v>
      </c>
      <c r="C735" s="267">
        <v>695</v>
      </c>
      <c r="D735" s="268">
        <f t="shared" si="149"/>
        <v>2581</v>
      </c>
      <c r="E735" s="267">
        <v>695</v>
      </c>
      <c r="F735" s="267"/>
      <c r="G735" s="267">
        <v>64</v>
      </c>
      <c r="H735" s="267"/>
      <c r="I735" s="287">
        <v>1822</v>
      </c>
      <c r="J735" s="288">
        <f t="shared" si="151"/>
        <v>371.37</v>
      </c>
      <c r="K735" s="276" t="s">
        <v>1087</v>
      </c>
      <c r="L735" s="33">
        <v>1</v>
      </c>
      <c r="M735" s="157" t="s">
        <v>2641</v>
      </c>
      <c r="N735" s="157"/>
      <c r="O735" s="157" t="s">
        <v>561</v>
      </c>
      <c r="P735" s="163" t="s">
        <v>2643</v>
      </c>
    </row>
    <row r="736" s="93" customFormat="1" ht="20.1" customHeight="1" spans="1:16">
      <c r="A736" s="263" t="s">
        <v>562</v>
      </c>
      <c r="B736" s="297" t="s">
        <v>326</v>
      </c>
      <c r="C736" s="265">
        <f t="shared" ref="C736:I736" si="155">SUM(C737:C740)</f>
        <v>4835</v>
      </c>
      <c r="D736" s="265">
        <f t="shared" si="149"/>
        <v>3774</v>
      </c>
      <c r="E736" s="265">
        <f t="shared" si="155"/>
        <v>0</v>
      </c>
      <c r="F736" s="265">
        <f t="shared" si="155"/>
        <v>0</v>
      </c>
      <c r="G736" s="265">
        <f t="shared" si="155"/>
        <v>0</v>
      </c>
      <c r="H736" s="265">
        <f t="shared" si="155"/>
        <v>0</v>
      </c>
      <c r="I736" s="265">
        <f t="shared" si="155"/>
        <v>3774</v>
      </c>
      <c r="J736" s="298">
        <f t="shared" si="151"/>
        <v>78.06</v>
      </c>
      <c r="K736" s="284" t="s">
        <v>1082</v>
      </c>
      <c r="L736" s="285"/>
      <c r="M736" s="263" t="s">
        <v>562</v>
      </c>
      <c r="N736" s="263" t="s">
        <v>556</v>
      </c>
      <c r="O736" s="263" t="s">
        <v>562</v>
      </c>
      <c r="P736" s="286" t="s">
        <v>2644</v>
      </c>
    </row>
    <row r="737" s="92" customFormat="1" ht="20.1" customHeight="1" spans="1:16">
      <c r="A737" s="157" t="s">
        <v>2645</v>
      </c>
      <c r="B737" s="36" t="s">
        <v>2646</v>
      </c>
      <c r="C737" s="267">
        <v>1394</v>
      </c>
      <c r="D737" s="268">
        <f t="shared" si="149"/>
        <v>1457</v>
      </c>
      <c r="E737" s="267"/>
      <c r="F737" s="267"/>
      <c r="G737" s="267"/>
      <c r="H737" s="267"/>
      <c r="I737" s="287">
        <v>1457</v>
      </c>
      <c r="J737" s="288">
        <f t="shared" si="151"/>
        <v>104.52</v>
      </c>
      <c r="K737" s="276" t="s">
        <v>1087</v>
      </c>
      <c r="L737" s="33">
        <v>1</v>
      </c>
      <c r="M737" s="157" t="s">
        <v>2645</v>
      </c>
      <c r="N737" s="157"/>
      <c r="O737" s="157" t="s">
        <v>562</v>
      </c>
      <c r="P737" s="163" t="s">
        <v>2647</v>
      </c>
    </row>
    <row r="738" s="92" customFormat="1" ht="20.1" customHeight="1" spans="1:16">
      <c r="A738" s="157" t="s">
        <v>2648</v>
      </c>
      <c r="B738" s="36" t="s">
        <v>2649</v>
      </c>
      <c r="C738" s="267">
        <v>2763</v>
      </c>
      <c r="D738" s="268">
        <f t="shared" si="149"/>
        <v>899</v>
      </c>
      <c r="E738" s="267"/>
      <c r="F738" s="267"/>
      <c r="G738" s="267"/>
      <c r="H738" s="267"/>
      <c r="I738" s="287">
        <v>899</v>
      </c>
      <c r="J738" s="288">
        <f t="shared" si="151"/>
        <v>32.54</v>
      </c>
      <c r="K738" s="276" t="s">
        <v>1087</v>
      </c>
      <c r="L738" s="33">
        <v>1</v>
      </c>
      <c r="M738" s="157" t="s">
        <v>2648</v>
      </c>
      <c r="N738" s="157"/>
      <c r="O738" s="157" t="s">
        <v>562</v>
      </c>
      <c r="P738" s="163" t="s">
        <v>2650</v>
      </c>
    </row>
    <row r="739" s="92" customFormat="1" ht="20.1" customHeight="1" spans="1:16">
      <c r="A739" s="157" t="s">
        <v>2651</v>
      </c>
      <c r="B739" s="36" t="s">
        <v>2652</v>
      </c>
      <c r="C739" s="267">
        <v>636</v>
      </c>
      <c r="D739" s="268">
        <f t="shared" si="149"/>
        <v>1409</v>
      </c>
      <c r="E739" s="267"/>
      <c r="F739" s="267"/>
      <c r="G739" s="267"/>
      <c r="H739" s="267"/>
      <c r="I739" s="287">
        <v>1409</v>
      </c>
      <c r="J739" s="288">
        <f t="shared" si="151"/>
        <v>221.54</v>
      </c>
      <c r="K739" s="276" t="s">
        <v>1087</v>
      </c>
      <c r="L739" s="33">
        <v>1</v>
      </c>
      <c r="M739" s="157" t="s">
        <v>2651</v>
      </c>
      <c r="N739" s="157"/>
      <c r="O739" s="157" t="s">
        <v>562</v>
      </c>
      <c r="P739" s="163" t="s">
        <v>2653</v>
      </c>
    </row>
    <row r="740" s="92" customFormat="1" ht="20.1" customHeight="1" spans="1:16">
      <c r="A740" s="157" t="s">
        <v>2654</v>
      </c>
      <c r="B740" s="36" t="s">
        <v>2655</v>
      </c>
      <c r="C740" s="267">
        <v>42</v>
      </c>
      <c r="D740" s="268">
        <f t="shared" si="149"/>
        <v>9</v>
      </c>
      <c r="E740" s="267"/>
      <c r="F740" s="267"/>
      <c r="G740" s="267"/>
      <c r="H740" s="267"/>
      <c r="I740" s="287">
        <v>9</v>
      </c>
      <c r="J740" s="288">
        <f t="shared" si="151"/>
        <v>21.43</v>
      </c>
      <c r="K740" s="276" t="s">
        <v>1087</v>
      </c>
      <c r="L740" s="33">
        <v>1</v>
      </c>
      <c r="M740" s="157" t="s">
        <v>2654</v>
      </c>
      <c r="N740" s="157"/>
      <c r="O740" s="157" t="s">
        <v>562</v>
      </c>
      <c r="P740" s="163" t="s">
        <v>2656</v>
      </c>
    </row>
    <row r="741" s="93" customFormat="1" ht="20.1" customHeight="1" spans="1:16">
      <c r="A741" s="263" t="s">
        <v>563</v>
      </c>
      <c r="B741" s="297" t="s">
        <v>327</v>
      </c>
      <c r="C741" s="265">
        <f t="shared" ref="C741:I741" si="156">SUM(C742:C744)</f>
        <v>1080</v>
      </c>
      <c r="D741" s="265">
        <f t="shared" si="149"/>
        <v>50</v>
      </c>
      <c r="E741" s="265">
        <f t="shared" si="156"/>
        <v>0</v>
      </c>
      <c r="F741" s="265">
        <f t="shared" si="156"/>
        <v>0</v>
      </c>
      <c r="G741" s="265">
        <f t="shared" si="156"/>
        <v>0</v>
      </c>
      <c r="H741" s="265">
        <f t="shared" si="156"/>
        <v>0</v>
      </c>
      <c r="I741" s="265">
        <f t="shared" si="156"/>
        <v>50</v>
      </c>
      <c r="J741" s="298">
        <f t="shared" si="151"/>
        <v>4.63</v>
      </c>
      <c r="K741" s="284" t="s">
        <v>1082</v>
      </c>
      <c r="L741" s="285"/>
      <c r="M741" s="263" t="s">
        <v>563</v>
      </c>
      <c r="N741" s="263" t="s">
        <v>556</v>
      </c>
      <c r="O741" s="263" t="s">
        <v>563</v>
      </c>
      <c r="P741" s="286" t="s">
        <v>2657</v>
      </c>
    </row>
    <row r="742" s="92" customFormat="1" ht="20.1" customHeight="1" spans="1:16">
      <c r="A742" s="157" t="s">
        <v>2658</v>
      </c>
      <c r="B742" s="36" t="s">
        <v>2659</v>
      </c>
      <c r="C742" s="267"/>
      <c r="D742" s="268">
        <f t="shared" si="149"/>
        <v>0</v>
      </c>
      <c r="E742" s="267"/>
      <c r="F742" s="267"/>
      <c r="G742" s="267"/>
      <c r="H742" s="267"/>
      <c r="I742" s="287"/>
      <c r="J742" s="288">
        <f t="shared" si="151"/>
        <v>0</v>
      </c>
      <c r="K742" s="276" t="s">
        <v>1087</v>
      </c>
      <c r="L742" s="33">
        <v>1</v>
      </c>
      <c r="M742" s="157" t="s">
        <v>2658</v>
      </c>
      <c r="N742" s="157"/>
      <c r="O742" s="157" t="s">
        <v>563</v>
      </c>
      <c r="P742" s="163" t="s">
        <v>2660</v>
      </c>
    </row>
    <row r="743" s="92" customFormat="1" ht="20.1" customHeight="1" spans="1:16">
      <c r="A743" s="157" t="s">
        <v>2661</v>
      </c>
      <c r="B743" s="36" t="s">
        <v>2662</v>
      </c>
      <c r="C743" s="267">
        <v>1080</v>
      </c>
      <c r="D743" s="268">
        <f t="shared" si="149"/>
        <v>0</v>
      </c>
      <c r="E743" s="267"/>
      <c r="F743" s="267"/>
      <c r="G743" s="267"/>
      <c r="H743" s="267"/>
      <c r="I743" s="287"/>
      <c r="J743" s="288">
        <f t="shared" si="151"/>
        <v>-100</v>
      </c>
      <c r="K743" s="276" t="s">
        <v>1087</v>
      </c>
      <c r="L743" s="33">
        <v>1</v>
      </c>
      <c r="M743" s="157" t="s">
        <v>2661</v>
      </c>
      <c r="N743" s="157"/>
      <c r="O743" s="157" t="s">
        <v>563</v>
      </c>
      <c r="P743" s="163" t="s">
        <v>2663</v>
      </c>
    </row>
    <row r="744" s="92" customFormat="1" ht="20.1" customHeight="1" spans="1:16">
      <c r="A744" s="157" t="s">
        <v>2664</v>
      </c>
      <c r="B744" s="36" t="s">
        <v>2665</v>
      </c>
      <c r="C744" s="267"/>
      <c r="D744" s="268">
        <f t="shared" si="149"/>
        <v>50</v>
      </c>
      <c r="E744" s="267"/>
      <c r="F744" s="267"/>
      <c r="G744" s="267"/>
      <c r="H744" s="267"/>
      <c r="I744" s="287">
        <v>50</v>
      </c>
      <c r="J744" s="288">
        <f t="shared" si="151"/>
        <v>100</v>
      </c>
      <c r="K744" s="276" t="s">
        <v>1087</v>
      </c>
      <c r="L744" s="33">
        <v>1</v>
      </c>
      <c r="M744" s="157" t="s">
        <v>2664</v>
      </c>
      <c r="N744" s="157"/>
      <c r="O744" s="157" t="s">
        <v>563</v>
      </c>
      <c r="P744" s="163" t="s">
        <v>2666</v>
      </c>
    </row>
    <row r="745" s="93" customFormat="1" ht="20.1" customHeight="1" spans="1:16">
      <c r="A745" s="263" t="s">
        <v>564</v>
      </c>
      <c r="B745" s="297" t="s">
        <v>328</v>
      </c>
      <c r="C745" s="265">
        <f t="shared" ref="C745:I745" si="157">SUM(C746:C748)</f>
        <v>3376</v>
      </c>
      <c r="D745" s="265">
        <f t="shared" si="149"/>
        <v>2591</v>
      </c>
      <c r="E745" s="265">
        <f t="shared" si="157"/>
        <v>2387</v>
      </c>
      <c r="F745" s="265">
        <f t="shared" si="157"/>
        <v>0</v>
      </c>
      <c r="G745" s="265">
        <f t="shared" si="157"/>
        <v>0</v>
      </c>
      <c r="H745" s="265">
        <f t="shared" si="157"/>
        <v>0</v>
      </c>
      <c r="I745" s="265">
        <f t="shared" si="157"/>
        <v>204</v>
      </c>
      <c r="J745" s="298">
        <f t="shared" si="151"/>
        <v>76.75</v>
      </c>
      <c r="K745" s="284" t="s">
        <v>1082</v>
      </c>
      <c r="L745" s="285"/>
      <c r="M745" s="263" t="s">
        <v>564</v>
      </c>
      <c r="N745" s="263" t="s">
        <v>556</v>
      </c>
      <c r="O745" s="263" t="s">
        <v>564</v>
      </c>
      <c r="P745" s="286" t="s">
        <v>2667</v>
      </c>
    </row>
    <row r="746" s="92" customFormat="1" ht="20.1" customHeight="1" spans="1:16">
      <c r="A746" s="157" t="s">
        <v>2668</v>
      </c>
      <c r="B746" s="36" t="s">
        <v>2669</v>
      </c>
      <c r="C746" s="267">
        <v>3376</v>
      </c>
      <c r="D746" s="268">
        <f t="shared" si="149"/>
        <v>2591</v>
      </c>
      <c r="E746" s="267">
        <v>2387</v>
      </c>
      <c r="F746" s="267"/>
      <c r="G746" s="267"/>
      <c r="H746" s="267"/>
      <c r="I746" s="287">
        <v>204</v>
      </c>
      <c r="J746" s="288">
        <f t="shared" si="151"/>
        <v>76.75</v>
      </c>
      <c r="K746" s="276" t="s">
        <v>1087</v>
      </c>
      <c r="L746" s="33">
        <v>1</v>
      </c>
      <c r="M746" s="157" t="s">
        <v>2668</v>
      </c>
      <c r="N746" s="157"/>
      <c r="O746" s="157" t="s">
        <v>564</v>
      </c>
      <c r="P746" s="163" t="s">
        <v>2670</v>
      </c>
    </row>
    <row r="747" s="92" customFormat="1" ht="20.1" customHeight="1" spans="1:16">
      <c r="A747" s="157" t="s">
        <v>2671</v>
      </c>
      <c r="B747" s="36" t="s">
        <v>2672</v>
      </c>
      <c r="C747" s="267"/>
      <c r="D747" s="268">
        <f t="shared" si="149"/>
        <v>0</v>
      </c>
      <c r="E747" s="267"/>
      <c r="F747" s="267"/>
      <c r="G747" s="267"/>
      <c r="H747" s="267"/>
      <c r="I747" s="287"/>
      <c r="J747" s="288">
        <f t="shared" si="151"/>
        <v>0</v>
      </c>
      <c r="K747" s="276" t="s">
        <v>1087</v>
      </c>
      <c r="L747" s="33">
        <v>1</v>
      </c>
      <c r="M747" s="157" t="s">
        <v>2671</v>
      </c>
      <c r="N747" s="157"/>
      <c r="O747" s="157" t="s">
        <v>564</v>
      </c>
      <c r="P747" s="163" t="s">
        <v>2673</v>
      </c>
    </row>
    <row r="748" s="92" customFormat="1" ht="20.1" customHeight="1" spans="1:16">
      <c r="A748" s="157" t="s">
        <v>2674</v>
      </c>
      <c r="B748" s="36" t="s">
        <v>2675</v>
      </c>
      <c r="C748" s="267"/>
      <c r="D748" s="268">
        <f t="shared" si="149"/>
        <v>0</v>
      </c>
      <c r="E748" s="267"/>
      <c r="F748" s="267"/>
      <c r="G748" s="267"/>
      <c r="H748" s="267"/>
      <c r="I748" s="287"/>
      <c r="J748" s="288">
        <f t="shared" si="151"/>
        <v>0</v>
      </c>
      <c r="K748" s="276" t="s">
        <v>1087</v>
      </c>
      <c r="L748" s="33">
        <v>1</v>
      </c>
      <c r="M748" s="157" t="s">
        <v>2674</v>
      </c>
      <c r="N748" s="157"/>
      <c r="O748" s="157" t="s">
        <v>564</v>
      </c>
      <c r="P748" s="163" t="s">
        <v>2676</v>
      </c>
    </row>
    <row r="749" s="93" customFormat="1" ht="20.1" customHeight="1" spans="1:16">
      <c r="A749" s="263" t="s">
        <v>565</v>
      </c>
      <c r="B749" s="297" t="s">
        <v>329</v>
      </c>
      <c r="C749" s="265">
        <f t="shared" ref="C749:I749" si="158">SUM(C750:C751)</f>
        <v>68</v>
      </c>
      <c r="D749" s="265">
        <f t="shared" si="149"/>
        <v>8</v>
      </c>
      <c r="E749" s="265">
        <f t="shared" si="158"/>
        <v>8</v>
      </c>
      <c r="F749" s="265">
        <f t="shared" si="158"/>
        <v>0</v>
      </c>
      <c r="G749" s="265">
        <f t="shared" si="158"/>
        <v>0</v>
      </c>
      <c r="H749" s="265">
        <f t="shared" si="158"/>
        <v>0</v>
      </c>
      <c r="I749" s="265">
        <f t="shared" si="158"/>
        <v>0</v>
      </c>
      <c r="J749" s="298">
        <f t="shared" si="151"/>
        <v>11.76</v>
      </c>
      <c r="K749" s="284" t="s">
        <v>1082</v>
      </c>
      <c r="L749" s="285"/>
      <c r="M749" s="263" t="s">
        <v>565</v>
      </c>
      <c r="N749" s="263" t="s">
        <v>556</v>
      </c>
      <c r="O749" s="263" t="s">
        <v>565</v>
      </c>
      <c r="P749" s="286" t="s">
        <v>2677</v>
      </c>
    </row>
    <row r="750" s="92" customFormat="1" ht="20.1" customHeight="1" spans="1:16">
      <c r="A750" s="157" t="s">
        <v>2678</v>
      </c>
      <c r="B750" s="36" t="s">
        <v>2679</v>
      </c>
      <c r="C750" s="267">
        <v>68</v>
      </c>
      <c r="D750" s="268">
        <f t="shared" si="149"/>
        <v>8</v>
      </c>
      <c r="E750" s="267">
        <v>8</v>
      </c>
      <c r="F750" s="267"/>
      <c r="G750" s="267"/>
      <c r="H750" s="267"/>
      <c r="I750" s="287"/>
      <c r="J750" s="288">
        <f t="shared" si="151"/>
        <v>11.76</v>
      </c>
      <c r="K750" s="276" t="s">
        <v>1087</v>
      </c>
      <c r="L750" s="33">
        <v>1</v>
      </c>
      <c r="M750" s="157" t="s">
        <v>2678</v>
      </c>
      <c r="N750" s="157"/>
      <c r="O750" s="157" t="s">
        <v>565</v>
      </c>
      <c r="P750" s="163" t="s">
        <v>2680</v>
      </c>
    </row>
    <row r="751" s="92" customFormat="1" ht="20.1" customHeight="1" spans="1:16">
      <c r="A751" s="157" t="s">
        <v>2681</v>
      </c>
      <c r="B751" s="36" t="s">
        <v>2682</v>
      </c>
      <c r="C751" s="267">
        <v>0</v>
      </c>
      <c r="D751" s="268">
        <f t="shared" si="149"/>
        <v>0</v>
      </c>
      <c r="E751" s="267"/>
      <c r="F751" s="267"/>
      <c r="G751" s="267"/>
      <c r="H751" s="267"/>
      <c r="I751" s="287"/>
      <c r="J751" s="288">
        <f t="shared" si="151"/>
        <v>0</v>
      </c>
      <c r="K751" s="276" t="s">
        <v>1087</v>
      </c>
      <c r="L751" s="33">
        <v>1</v>
      </c>
      <c r="M751" s="157" t="s">
        <v>2681</v>
      </c>
      <c r="N751" s="157"/>
      <c r="O751" s="157" t="s">
        <v>565</v>
      </c>
      <c r="P751" s="163" t="s">
        <v>2683</v>
      </c>
    </row>
    <row r="752" s="93" customFormat="1" ht="20.1" customHeight="1" spans="1:16">
      <c r="A752" s="263" t="s">
        <v>566</v>
      </c>
      <c r="B752" s="297" t="s">
        <v>330</v>
      </c>
      <c r="C752" s="265">
        <f t="shared" ref="C752:I752" si="159">SUM(C753:C760)</f>
        <v>398</v>
      </c>
      <c r="D752" s="265">
        <f t="shared" si="149"/>
        <v>602</v>
      </c>
      <c r="E752" s="265">
        <f t="shared" si="159"/>
        <v>70</v>
      </c>
      <c r="F752" s="265">
        <f t="shared" si="159"/>
        <v>0</v>
      </c>
      <c r="G752" s="265">
        <f t="shared" si="159"/>
        <v>91</v>
      </c>
      <c r="H752" s="265">
        <f t="shared" si="159"/>
        <v>0</v>
      </c>
      <c r="I752" s="265">
        <f t="shared" si="159"/>
        <v>441</v>
      </c>
      <c r="J752" s="298">
        <f t="shared" si="151"/>
        <v>151.26</v>
      </c>
      <c r="K752" s="284" t="s">
        <v>1082</v>
      </c>
      <c r="L752" s="285"/>
      <c r="M752" s="263" t="s">
        <v>566</v>
      </c>
      <c r="N752" s="263" t="s">
        <v>556</v>
      </c>
      <c r="O752" s="263" t="s">
        <v>566</v>
      </c>
      <c r="P752" s="286" t="s">
        <v>2684</v>
      </c>
    </row>
    <row r="753" s="92" customFormat="1" ht="20.1" customHeight="1" spans="1:16">
      <c r="A753" s="157" t="s">
        <v>2685</v>
      </c>
      <c r="B753" s="36" t="s">
        <v>1086</v>
      </c>
      <c r="C753" s="267">
        <v>83</v>
      </c>
      <c r="D753" s="268">
        <f t="shared" si="149"/>
        <v>97</v>
      </c>
      <c r="E753" s="267"/>
      <c r="F753" s="267"/>
      <c r="G753" s="267"/>
      <c r="H753" s="267"/>
      <c r="I753" s="287">
        <v>97</v>
      </c>
      <c r="J753" s="288">
        <f t="shared" si="151"/>
        <v>116.87</v>
      </c>
      <c r="K753" s="276" t="s">
        <v>1087</v>
      </c>
      <c r="L753" s="33">
        <v>1</v>
      </c>
      <c r="M753" s="157" t="s">
        <v>2685</v>
      </c>
      <c r="N753" s="157"/>
      <c r="O753" s="157" t="s">
        <v>566</v>
      </c>
      <c r="P753" s="164" t="s">
        <v>1088</v>
      </c>
    </row>
    <row r="754" s="92" customFormat="1" ht="20.1" customHeight="1" spans="1:16">
      <c r="A754" s="157" t="s">
        <v>2686</v>
      </c>
      <c r="B754" s="36" t="s">
        <v>1090</v>
      </c>
      <c r="C754" s="267"/>
      <c r="D754" s="268">
        <f t="shared" si="149"/>
        <v>0</v>
      </c>
      <c r="E754" s="267"/>
      <c r="F754" s="267"/>
      <c r="G754" s="267"/>
      <c r="H754" s="267"/>
      <c r="I754" s="287"/>
      <c r="J754" s="288">
        <f t="shared" si="151"/>
        <v>0</v>
      </c>
      <c r="K754" s="276" t="s">
        <v>1087</v>
      </c>
      <c r="L754" s="33">
        <v>1</v>
      </c>
      <c r="M754" s="157" t="s">
        <v>2686</v>
      </c>
      <c r="N754" s="157"/>
      <c r="O754" s="157" t="s">
        <v>566</v>
      </c>
      <c r="P754" s="164" t="s">
        <v>1091</v>
      </c>
    </row>
    <row r="755" s="92" customFormat="1" ht="20.1" customHeight="1" spans="1:16">
      <c r="A755" s="157" t="s">
        <v>2687</v>
      </c>
      <c r="B755" s="36" t="s">
        <v>1093</v>
      </c>
      <c r="C755" s="267"/>
      <c r="D755" s="268">
        <f t="shared" si="149"/>
        <v>0</v>
      </c>
      <c r="E755" s="267"/>
      <c r="F755" s="267"/>
      <c r="G755" s="267"/>
      <c r="H755" s="267"/>
      <c r="I755" s="287"/>
      <c r="J755" s="288">
        <f t="shared" si="151"/>
        <v>0</v>
      </c>
      <c r="K755" s="276" t="s">
        <v>1087</v>
      </c>
      <c r="L755" s="33">
        <v>1</v>
      </c>
      <c r="M755" s="157" t="s">
        <v>2687</v>
      </c>
      <c r="N755" s="157"/>
      <c r="O755" s="157" t="s">
        <v>566</v>
      </c>
      <c r="P755" s="164" t="s">
        <v>1094</v>
      </c>
    </row>
    <row r="756" s="92" customFormat="1" ht="20.1" customHeight="1" spans="1:16">
      <c r="A756" s="157" t="s">
        <v>2688</v>
      </c>
      <c r="B756" s="36" t="s">
        <v>1217</v>
      </c>
      <c r="C756" s="267"/>
      <c r="D756" s="268">
        <f t="shared" si="149"/>
        <v>0</v>
      </c>
      <c r="E756" s="267"/>
      <c r="F756" s="267"/>
      <c r="G756" s="267"/>
      <c r="H756" s="267"/>
      <c r="I756" s="287"/>
      <c r="J756" s="288">
        <f t="shared" si="151"/>
        <v>0</v>
      </c>
      <c r="K756" s="276" t="s">
        <v>1087</v>
      </c>
      <c r="L756" s="33">
        <v>1</v>
      </c>
      <c r="M756" s="157" t="s">
        <v>2688</v>
      </c>
      <c r="N756" s="157"/>
      <c r="O756" s="157" t="s">
        <v>566</v>
      </c>
      <c r="P756" s="164" t="s">
        <v>1218</v>
      </c>
    </row>
    <row r="757" s="92" customFormat="1" ht="20.1" customHeight="1" spans="1:16">
      <c r="A757" s="157" t="s">
        <v>2689</v>
      </c>
      <c r="B757" s="36" t="s">
        <v>2690</v>
      </c>
      <c r="C757" s="267"/>
      <c r="D757" s="268">
        <f t="shared" si="149"/>
        <v>0</v>
      </c>
      <c r="E757" s="267"/>
      <c r="F757" s="267"/>
      <c r="G757" s="267"/>
      <c r="H757" s="267"/>
      <c r="I757" s="287"/>
      <c r="J757" s="288">
        <f t="shared" si="151"/>
        <v>0</v>
      </c>
      <c r="K757" s="276" t="s">
        <v>1087</v>
      </c>
      <c r="L757" s="33">
        <v>1</v>
      </c>
      <c r="M757" s="157" t="s">
        <v>2689</v>
      </c>
      <c r="N757" s="157"/>
      <c r="O757" s="157" t="s">
        <v>566</v>
      </c>
      <c r="P757" s="164" t="s">
        <v>2691</v>
      </c>
    </row>
    <row r="758" s="92" customFormat="1" ht="20.1" customHeight="1" spans="1:16">
      <c r="A758" s="157" t="s">
        <v>2692</v>
      </c>
      <c r="B758" s="36" t="s">
        <v>2693</v>
      </c>
      <c r="C758" s="267">
        <v>16</v>
      </c>
      <c r="D758" s="268">
        <f t="shared" si="149"/>
        <v>162</v>
      </c>
      <c r="E758" s="267">
        <v>70</v>
      </c>
      <c r="F758" s="267"/>
      <c r="G758" s="267">
        <v>91</v>
      </c>
      <c r="H758" s="267"/>
      <c r="I758" s="287">
        <v>1</v>
      </c>
      <c r="J758" s="288">
        <f t="shared" si="151"/>
        <v>1012.5</v>
      </c>
      <c r="K758" s="276" t="s">
        <v>1087</v>
      </c>
      <c r="L758" s="33">
        <v>1</v>
      </c>
      <c r="M758" s="157" t="s">
        <v>2692</v>
      </c>
      <c r="N758" s="157"/>
      <c r="O758" s="157" t="s">
        <v>566</v>
      </c>
      <c r="P758" s="164" t="s">
        <v>2694</v>
      </c>
    </row>
    <row r="759" s="92" customFormat="1" ht="20.1" customHeight="1" spans="1:16">
      <c r="A759" s="157" t="s">
        <v>2695</v>
      </c>
      <c r="B759" s="36" t="s">
        <v>1114</v>
      </c>
      <c r="C759" s="267">
        <v>299</v>
      </c>
      <c r="D759" s="268">
        <f t="shared" si="149"/>
        <v>343</v>
      </c>
      <c r="E759" s="267"/>
      <c r="F759" s="267"/>
      <c r="G759" s="267"/>
      <c r="H759" s="267"/>
      <c r="I759" s="287">
        <v>343</v>
      </c>
      <c r="J759" s="288">
        <f t="shared" si="151"/>
        <v>114.72</v>
      </c>
      <c r="K759" s="276" t="s">
        <v>1087</v>
      </c>
      <c r="L759" s="33">
        <v>1</v>
      </c>
      <c r="M759" s="157" t="s">
        <v>2695</v>
      </c>
      <c r="N759" s="157"/>
      <c r="O759" s="157" t="s">
        <v>566</v>
      </c>
      <c r="P759" s="164" t="s">
        <v>1115</v>
      </c>
    </row>
    <row r="760" s="92" customFormat="1" ht="20.1" customHeight="1" spans="1:16">
      <c r="A760" s="157" t="s">
        <v>2696</v>
      </c>
      <c r="B760" s="36" t="s">
        <v>2697</v>
      </c>
      <c r="C760" s="267"/>
      <c r="D760" s="268">
        <f t="shared" si="149"/>
        <v>0</v>
      </c>
      <c r="E760" s="267"/>
      <c r="F760" s="267"/>
      <c r="G760" s="267"/>
      <c r="H760" s="267"/>
      <c r="I760" s="287"/>
      <c r="J760" s="288">
        <f t="shared" si="151"/>
        <v>0</v>
      </c>
      <c r="K760" s="276" t="s">
        <v>1087</v>
      </c>
      <c r="L760" s="33">
        <v>1</v>
      </c>
      <c r="M760" s="157" t="s">
        <v>2696</v>
      </c>
      <c r="N760" s="157"/>
      <c r="O760" s="157" t="s">
        <v>566</v>
      </c>
      <c r="P760" s="164" t="s">
        <v>2698</v>
      </c>
    </row>
    <row r="761" s="93" customFormat="1" ht="20.1" customHeight="1" spans="1:16">
      <c r="A761" s="263" t="s">
        <v>568</v>
      </c>
      <c r="B761" s="297" t="s">
        <v>2699</v>
      </c>
      <c r="C761" s="265">
        <f t="shared" ref="C761:I761" si="160">SUM(C762:C767)</f>
        <v>126</v>
      </c>
      <c r="D761" s="265">
        <f t="shared" ref="D761:D824" si="161">SUM(E761:I761)</f>
        <v>178</v>
      </c>
      <c r="E761" s="265">
        <f t="shared" si="160"/>
        <v>150</v>
      </c>
      <c r="F761" s="265">
        <f t="shared" si="160"/>
        <v>0</v>
      </c>
      <c r="G761" s="265">
        <f t="shared" si="160"/>
        <v>28</v>
      </c>
      <c r="H761" s="265">
        <f t="shared" si="160"/>
        <v>0</v>
      </c>
      <c r="I761" s="265">
        <f t="shared" si="160"/>
        <v>0</v>
      </c>
      <c r="J761" s="298">
        <f t="shared" si="151"/>
        <v>141.27</v>
      </c>
      <c r="K761" s="284" t="s">
        <v>1082</v>
      </c>
      <c r="L761" s="285"/>
      <c r="M761" s="263" t="s">
        <v>568</v>
      </c>
      <c r="N761" s="263" t="s">
        <v>556</v>
      </c>
      <c r="O761" s="263" t="s">
        <v>568</v>
      </c>
      <c r="P761" s="286" t="s">
        <v>2700</v>
      </c>
    </row>
    <row r="762" s="92" customFormat="1" ht="20.1" customHeight="1" spans="1:16">
      <c r="A762" s="157" t="s">
        <v>2701</v>
      </c>
      <c r="B762" s="36" t="s">
        <v>1086</v>
      </c>
      <c r="C762" s="267"/>
      <c r="D762" s="268">
        <f t="shared" si="161"/>
        <v>0</v>
      </c>
      <c r="E762" s="267"/>
      <c r="F762" s="267"/>
      <c r="G762" s="267"/>
      <c r="H762" s="267"/>
      <c r="I762" s="287"/>
      <c r="J762" s="288">
        <f t="shared" si="151"/>
        <v>0</v>
      </c>
      <c r="K762" s="276" t="s">
        <v>1087</v>
      </c>
      <c r="L762" s="33">
        <v>1</v>
      </c>
      <c r="M762" s="157" t="s">
        <v>2701</v>
      </c>
      <c r="N762" s="157"/>
      <c r="O762" s="157" t="s">
        <v>568</v>
      </c>
      <c r="P762" s="36" t="s">
        <v>1088</v>
      </c>
    </row>
    <row r="763" s="92" customFormat="1" ht="20.1" customHeight="1" spans="1:16">
      <c r="A763" s="157" t="s">
        <v>2702</v>
      </c>
      <c r="B763" s="36" t="s">
        <v>1090</v>
      </c>
      <c r="C763" s="267"/>
      <c r="D763" s="268">
        <f t="shared" si="161"/>
        <v>0</v>
      </c>
      <c r="E763" s="267"/>
      <c r="F763" s="267"/>
      <c r="G763" s="267"/>
      <c r="H763" s="267"/>
      <c r="I763" s="287"/>
      <c r="J763" s="288"/>
      <c r="K763" s="276" t="s">
        <v>1087</v>
      </c>
      <c r="L763" s="33">
        <v>1</v>
      </c>
      <c r="M763" s="157" t="s">
        <v>2702</v>
      </c>
      <c r="N763" s="157"/>
      <c r="O763" s="157" t="s">
        <v>568</v>
      </c>
      <c r="P763" s="36" t="s">
        <v>1091</v>
      </c>
    </row>
    <row r="764" s="92" customFormat="1" ht="20.1" customHeight="1" spans="1:16">
      <c r="A764" s="157" t="s">
        <v>2703</v>
      </c>
      <c r="B764" s="36" t="s">
        <v>1093</v>
      </c>
      <c r="C764" s="267"/>
      <c r="D764" s="268">
        <f t="shared" si="161"/>
        <v>0</v>
      </c>
      <c r="E764" s="267"/>
      <c r="F764" s="267"/>
      <c r="G764" s="267"/>
      <c r="H764" s="267"/>
      <c r="I764" s="287"/>
      <c r="J764" s="288"/>
      <c r="K764" s="276" t="s">
        <v>1087</v>
      </c>
      <c r="L764" s="33">
        <v>1</v>
      </c>
      <c r="M764" s="157" t="s">
        <v>2703</v>
      </c>
      <c r="N764" s="157"/>
      <c r="O764" s="157" t="s">
        <v>568</v>
      </c>
      <c r="P764" s="36" t="s">
        <v>1094</v>
      </c>
    </row>
    <row r="765" s="92" customFormat="1" ht="20.1" customHeight="1" spans="1:16">
      <c r="A765" s="157" t="s">
        <v>2704</v>
      </c>
      <c r="B765" s="36" t="s">
        <v>2705</v>
      </c>
      <c r="C765" s="267">
        <v>126</v>
      </c>
      <c r="D765" s="268">
        <f t="shared" si="161"/>
        <v>178</v>
      </c>
      <c r="E765" s="267">
        <v>150</v>
      </c>
      <c r="F765" s="267"/>
      <c r="G765" s="267">
        <v>28</v>
      </c>
      <c r="H765" s="267"/>
      <c r="I765" s="287"/>
      <c r="J765" s="288"/>
      <c r="K765" s="276" t="s">
        <v>1087</v>
      </c>
      <c r="L765" s="33">
        <v>1</v>
      </c>
      <c r="M765" s="157" t="s">
        <v>2704</v>
      </c>
      <c r="N765" s="157"/>
      <c r="O765" s="157" t="s">
        <v>568</v>
      </c>
      <c r="P765" s="36" t="s">
        <v>2706</v>
      </c>
    </row>
    <row r="766" s="92" customFormat="1" ht="20.1" customHeight="1" spans="1:16">
      <c r="A766" s="157" t="s">
        <v>2707</v>
      </c>
      <c r="B766" s="36" t="s">
        <v>1114</v>
      </c>
      <c r="C766" s="267"/>
      <c r="D766" s="268">
        <f t="shared" si="161"/>
        <v>0</v>
      </c>
      <c r="E766" s="267"/>
      <c r="F766" s="267"/>
      <c r="G766" s="267"/>
      <c r="H766" s="267"/>
      <c r="I766" s="287"/>
      <c r="J766" s="288"/>
      <c r="K766" s="276" t="s">
        <v>1087</v>
      </c>
      <c r="L766" s="33">
        <v>1</v>
      </c>
      <c r="M766" s="157" t="s">
        <v>2707</v>
      </c>
      <c r="N766" s="157"/>
      <c r="O766" s="157" t="s">
        <v>568</v>
      </c>
      <c r="P766" s="36" t="s">
        <v>1115</v>
      </c>
    </row>
    <row r="767" s="92" customFormat="1" ht="20.1" customHeight="1" spans="1:16">
      <c r="A767" s="157" t="s">
        <v>2708</v>
      </c>
      <c r="B767" s="36" t="s">
        <v>2709</v>
      </c>
      <c r="C767" s="267">
        <v>0</v>
      </c>
      <c r="D767" s="268">
        <f t="shared" si="161"/>
        <v>0</v>
      </c>
      <c r="E767" s="267"/>
      <c r="F767" s="267"/>
      <c r="G767" s="267"/>
      <c r="H767" s="267"/>
      <c r="I767" s="287"/>
      <c r="J767" s="288">
        <f t="shared" ref="J767:J769" si="162">ROUND(IF(C767=0,IF(D767=0,0,1),IF(D767=0,-1,D767/C767)),4)*100</f>
        <v>0</v>
      </c>
      <c r="K767" s="276" t="s">
        <v>1087</v>
      </c>
      <c r="L767" s="33">
        <v>1</v>
      </c>
      <c r="M767" s="157" t="s">
        <v>2708</v>
      </c>
      <c r="N767" s="157"/>
      <c r="O767" s="157" t="s">
        <v>568</v>
      </c>
      <c r="P767" s="36" t="s">
        <v>2710</v>
      </c>
    </row>
    <row r="768" s="93" customFormat="1" ht="20.1" customHeight="1" spans="1:16">
      <c r="A768" s="263" t="s">
        <v>569</v>
      </c>
      <c r="B768" s="297" t="s">
        <v>333</v>
      </c>
      <c r="C768" s="265">
        <f t="shared" ref="C768:I768" si="163">SUM(C769:C772)</f>
        <v>0</v>
      </c>
      <c r="D768" s="265">
        <f t="shared" si="161"/>
        <v>0</v>
      </c>
      <c r="E768" s="265">
        <f t="shared" si="163"/>
        <v>0</v>
      </c>
      <c r="F768" s="265">
        <f t="shared" si="163"/>
        <v>0</v>
      </c>
      <c r="G768" s="265">
        <f t="shared" si="163"/>
        <v>0</v>
      </c>
      <c r="H768" s="265">
        <f t="shared" si="163"/>
        <v>0</v>
      </c>
      <c r="I768" s="265">
        <f t="shared" si="163"/>
        <v>0</v>
      </c>
      <c r="J768" s="298">
        <f t="shared" si="162"/>
        <v>0</v>
      </c>
      <c r="K768" s="284" t="s">
        <v>1082</v>
      </c>
      <c r="L768" s="285"/>
      <c r="M768" s="263" t="s">
        <v>569</v>
      </c>
      <c r="N768" s="263" t="s">
        <v>556</v>
      </c>
      <c r="O768" s="263" t="s">
        <v>569</v>
      </c>
      <c r="P768" s="297" t="s">
        <v>2711</v>
      </c>
    </row>
    <row r="769" s="92" customFormat="1" ht="20.1" customHeight="1" spans="1:16">
      <c r="A769" s="157" t="s">
        <v>2712</v>
      </c>
      <c r="B769" s="36" t="s">
        <v>1086</v>
      </c>
      <c r="C769" s="267"/>
      <c r="D769" s="268">
        <f t="shared" si="161"/>
        <v>0</v>
      </c>
      <c r="E769" s="267"/>
      <c r="F769" s="267"/>
      <c r="G769" s="267"/>
      <c r="H769" s="267"/>
      <c r="I769" s="287"/>
      <c r="J769" s="288">
        <f t="shared" si="162"/>
        <v>0</v>
      </c>
      <c r="K769" s="276" t="s">
        <v>1087</v>
      </c>
      <c r="L769" s="33">
        <v>1</v>
      </c>
      <c r="M769" s="157" t="s">
        <v>2712</v>
      </c>
      <c r="N769" s="157"/>
      <c r="O769" s="157" t="s">
        <v>569</v>
      </c>
      <c r="P769" s="36" t="s">
        <v>1088</v>
      </c>
    </row>
    <row r="770" s="92" customFormat="1" ht="20.1" customHeight="1" spans="1:16">
      <c r="A770" s="157" t="s">
        <v>2713</v>
      </c>
      <c r="B770" s="36" t="s">
        <v>1090</v>
      </c>
      <c r="C770" s="267"/>
      <c r="D770" s="268">
        <f t="shared" si="161"/>
        <v>0</v>
      </c>
      <c r="E770" s="267"/>
      <c r="F770" s="267"/>
      <c r="G770" s="267"/>
      <c r="H770" s="267"/>
      <c r="I770" s="287"/>
      <c r="J770" s="288"/>
      <c r="K770" s="276" t="s">
        <v>1087</v>
      </c>
      <c r="L770" s="33">
        <v>1</v>
      </c>
      <c r="M770" s="157" t="s">
        <v>2713</v>
      </c>
      <c r="N770" s="157"/>
      <c r="O770" s="157" t="s">
        <v>569</v>
      </c>
      <c r="P770" s="36" t="s">
        <v>1091</v>
      </c>
    </row>
    <row r="771" s="92" customFormat="1" ht="20.1" customHeight="1" spans="1:16">
      <c r="A771" s="157" t="s">
        <v>2714</v>
      </c>
      <c r="B771" s="36" t="s">
        <v>1093</v>
      </c>
      <c r="C771" s="267"/>
      <c r="D771" s="268">
        <f t="shared" si="161"/>
        <v>0</v>
      </c>
      <c r="E771" s="267"/>
      <c r="F771" s="267"/>
      <c r="G771" s="267"/>
      <c r="H771" s="267"/>
      <c r="I771" s="287"/>
      <c r="J771" s="288"/>
      <c r="K771" s="276" t="s">
        <v>1087</v>
      </c>
      <c r="L771" s="33">
        <v>1</v>
      </c>
      <c r="M771" s="157" t="s">
        <v>2714</v>
      </c>
      <c r="N771" s="157"/>
      <c r="O771" s="157" t="s">
        <v>569</v>
      </c>
      <c r="P771" s="36" t="s">
        <v>1094</v>
      </c>
    </row>
    <row r="772" s="92" customFormat="1" ht="20.1" customHeight="1" spans="1:16">
      <c r="A772" s="157" t="s">
        <v>2715</v>
      </c>
      <c r="B772" s="36" t="s">
        <v>2716</v>
      </c>
      <c r="C772" s="267">
        <v>0</v>
      </c>
      <c r="D772" s="268">
        <f t="shared" si="161"/>
        <v>0</v>
      </c>
      <c r="E772" s="267"/>
      <c r="F772" s="267"/>
      <c r="G772" s="267"/>
      <c r="H772" s="267"/>
      <c r="I772" s="287"/>
      <c r="J772" s="288">
        <f t="shared" ref="J772:J774" si="164">ROUND(IF(C772=0,IF(D772=0,0,1),IF(D772=0,-1,D772/C772)),4)*100</f>
        <v>0</v>
      </c>
      <c r="K772" s="276" t="s">
        <v>1087</v>
      </c>
      <c r="L772" s="33">
        <v>1</v>
      </c>
      <c r="M772" s="157" t="s">
        <v>2715</v>
      </c>
      <c r="N772" s="157"/>
      <c r="O772" s="157" t="s">
        <v>569</v>
      </c>
      <c r="P772" s="36" t="s">
        <v>2717</v>
      </c>
    </row>
    <row r="773" s="93" customFormat="1" ht="20.1" customHeight="1" spans="1:16">
      <c r="A773" s="263" t="s">
        <v>2718</v>
      </c>
      <c r="B773" s="297" t="s">
        <v>2719</v>
      </c>
      <c r="C773" s="265">
        <f t="shared" ref="C773:I773" si="165">SUM(C774:C775)</f>
        <v>0</v>
      </c>
      <c r="D773" s="265">
        <f t="shared" si="161"/>
        <v>0</v>
      </c>
      <c r="E773" s="265">
        <f t="shared" si="165"/>
        <v>0</v>
      </c>
      <c r="F773" s="265">
        <f t="shared" si="165"/>
        <v>0</v>
      </c>
      <c r="G773" s="265">
        <f t="shared" si="165"/>
        <v>0</v>
      </c>
      <c r="H773" s="265">
        <f t="shared" si="165"/>
        <v>0</v>
      </c>
      <c r="I773" s="265">
        <f t="shared" si="165"/>
        <v>0</v>
      </c>
      <c r="J773" s="298">
        <f t="shared" si="164"/>
        <v>0</v>
      </c>
      <c r="K773" s="284" t="s">
        <v>1082</v>
      </c>
      <c r="L773" s="285"/>
      <c r="M773" s="263" t="s">
        <v>2718</v>
      </c>
      <c r="N773" s="263" t="s">
        <v>556</v>
      </c>
      <c r="O773" s="263" t="s">
        <v>2718</v>
      </c>
      <c r="P773" s="297" t="s">
        <v>2711</v>
      </c>
    </row>
    <row r="774" s="92" customFormat="1" ht="20.1" customHeight="1" spans="1:16">
      <c r="A774" s="157" t="s">
        <v>2720</v>
      </c>
      <c r="B774" s="36" t="s">
        <v>2721</v>
      </c>
      <c r="C774" s="267"/>
      <c r="D774" s="268">
        <f t="shared" si="161"/>
        <v>0</v>
      </c>
      <c r="E774" s="267"/>
      <c r="F774" s="267"/>
      <c r="G774" s="267"/>
      <c r="H774" s="267"/>
      <c r="I774" s="287"/>
      <c r="J774" s="288">
        <f t="shared" si="164"/>
        <v>0</v>
      </c>
      <c r="K774" s="276" t="s">
        <v>1087</v>
      </c>
      <c r="L774" s="33">
        <v>1</v>
      </c>
      <c r="M774" s="157" t="s">
        <v>2720</v>
      </c>
      <c r="N774" s="157"/>
      <c r="O774" s="157" t="s">
        <v>2718</v>
      </c>
      <c r="P774" s="36" t="s">
        <v>2722</v>
      </c>
    </row>
    <row r="775" s="92" customFormat="1" ht="20.1" customHeight="1" spans="1:16">
      <c r="A775" s="157" t="s">
        <v>2723</v>
      </c>
      <c r="B775" s="36" t="s">
        <v>2724</v>
      </c>
      <c r="C775" s="267"/>
      <c r="D775" s="268">
        <f t="shared" si="161"/>
        <v>0</v>
      </c>
      <c r="E775" s="267"/>
      <c r="F775" s="267"/>
      <c r="G775" s="267"/>
      <c r="H775" s="267"/>
      <c r="I775" s="287"/>
      <c r="J775" s="288"/>
      <c r="K775" s="276" t="s">
        <v>1087</v>
      </c>
      <c r="L775" s="33">
        <v>1</v>
      </c>
      <c r="M775" s="157" t="s">
        <v>2723</v>
      </c>
      <c r="N775" s="157"/>
      <c r="O775" s="157" t="s">
        <v>2718</v>
      </c>
      <c r="P775" s="36" t="s">
        <v>2725</v>
      </c>
    </row>
    <row r="776" s="93" customFormat="1" ht="20.1" customHeight="1" spans="1:16">
      <c r="A776" s="263" t="s">
        <v>570</v>
      </c>
      <c r="B776" s="297" t="s">
        <v>334</v>
      </c>
      <c r="C776" s="265">
        <f t="shared" ref="C776:I776" si="166">SUM(C777:C777)</f>
        <v>348</v>
      </c>
      <c r="D776" s="265">
        <f t="shared" si="161"/>
        <v>1974</v>
      </c>
      <c r="E776" s="265">
        <f t="shared" si="166"/>
        <v>760</v>
      </c>
      <c r="F776" s="265">
        <f t="shared" si="166"/>
        <v>0</v>
      </c>
      <c r="G776" s="265">
        <f t="shared" si="166"/>
        <v>1046</v>
      </c>
      <c r="H776" s="265">
        <f t="shared" si="166"/>
        <v>0</v>
      </c>
      <c r="I776" s="265">
        <f t="shared" si="166"/>
        <v>168</v>
      </c>
      <c r="J776" s="298">
        <f t="shared" ref="J776:J786" si="167">ROUND(IF(C776=0,IF(D776=0,0,1),IF(D776=0,-1,D776/C776)),4)*100</f>
        <v>567.24</v>
      </c>
      <c r="K776" s="284" t="s">
        <v>1082</v>
      </c>
      <c r="L776" s="285"/>
      <c r="M776" s="263" t="s">
        <v>570</v>
      </c>
      <c r="N776" s="263" t="s">
        <v>556</v>
      </c>
      <c r="O776" s="263" t="s">
        <v>570</v>
      </c>
      <c r="P776" s="286" t="s">
        <v>2726</v>
      </c>
    </row>
    <row r="777" s="92" customFormat="1" ht="20.1" customHeight="1" spans="1:16">
      <c r="A777" s="172" t="s">
        <v>2727</v>
      </c>
      <c r="B777" s="36" t="s">
        <v>334</v>
      </c>
      <c r="C777" s="267">
        <v>348</v>
      </c>
      <c r="D777" s="268">
        <f t="shared" si="161"/>
        <v>1974</v>
      </c>
      <c r="E777" s="267">
        <v>760</v>
      </c>
      <c r="F777" s="267"/>
      <c r="G777" s="267">
        <v>1046</v>
      </c>
      <c r="H777" s="267"/>
      <c r="I777" s="287">
        <v>168</v>
      </c>
      <c r="J777" s="288"/>
      <c r="K777" s="276" t="s">
        <v>1087</v>
      </c>
      <c r="L777" s="33">
        <v>1</v>
      </c>
      <c r="M777" s="157" t="s">
        <v>2727</v>
      </c>
      <c r="N777" s="157"/>
      <c r="O777" s="157" t="s">
        <v>570</v>
      </c>
      <c r="P777" s="163" t="s">
        <v>2726</v>
      </c>
    </row>
    <row r="778" s="93" customFormat="1" ht="20.1" customHeight="1" spans="1:16">
      <c r="A778" s="154" t="s">
        <v>571</v>
      </c>
      <c r="B778" s="261" t="s">
        <v>335</v>
      </c>
      <c r="C778" s="262">
        <f t="shared" ref="C778:I778" si="168">C779+C789+C793+C802+C809+C816+C819+C822+C824+C826+C832+C835+C837+C848</f>
        <v>1142</v>
      </c>
      <c r="D778" s="262">
        <f t="shared" si="161"/>
        <v>4252</v>
      </c>
      <c r="E778" s="262">
        <f t="shared" si="168"/>
        <v>1660</v>
      </c>
      <c r="F778" s="262">
        <f t="shared" si="168"/>
        <v>20</v>
      </c>
      <c r="G778" s="262">
        <f t="shared" si="168"/>
        <v>2235</v>
      </c>
      <c r="H778" s="262">
        <f t="shared" si="168"/>
        <v>0</v>
      </c>
      <c r="I778" s="262">
        <f t="shared" si="168"/>
        <v>337</v>
      </c>
      <c r="J778" s="279">
        <f t="shared" si="167"/>
        <v>372.33</v>
      </c>
      <c r="K778" s="280" t="s">
        <v>1081</v>
      </c>
      <c r="L778" s="281"/>
      <c r="M778" s="154" t="s">
        <v>571</v>
      </c>
      <c r="N778" s="154" t="s">
        <v>571</v>
      </c>
      <c r="O778" s="154" t="s">
        <v>571</v>
      </c>
      <c r="P778" s="282" t="s">
        <v>2728</v>
      </c>
    </row>
    <row r="779" s="93" customFormat="1" ht="20.1" customHeight="1" spans="1:16">
      <c r="A779" s="263" t="s">
        <v>572</v>
      </c>
      <c r="B779" s="297" t="s">
        <v>336</v>
      </c>
      <c r="C779" s="265">
        <f t="shared" ref="C779:I779" si="169">SUM(C780:C788)</f>
        <v>1</v>
      </c>
      <c r="D779" s="265">
        <f t="shared" si="161"/>
        <v>0</v>
      </c>
      <c r="E779" s="265">
        <f t="shared" si="169"/>
        <v>0</v>
      </c>
      <c r="F779" s="265">
        <f t="shared" si="169"/>
        <v>0</v>
      </c>
      <c r="G779" s="265">
        <f t="shared" si="169"/>
        <v>0</v>
      </c>
      <c r="H779" s="265">
        <f t="shared" si="169"/>
        <v>0</v>
      </c>
      <c r="I779" s="265">
        <f t="shared" si="169"/>
        <v>0</v>
      </c>
      <c r="J779" s="298">
        <f t="shared" si="167"/>
        <v>-100</v>
      </c>
      <c r="K779" s="284" t="s">
        <v>1082</v>
      </c>
      <c r="L779" s="285"/>
      <c r="M779" s="263" t="s">
        <v>572</v>
      </c>
      <c r="N779" s="263" t="s">
        <v>571</v>
      </c>
      <c r="O779" s="263" t="s">
        <v>572</v>
      </c>
      <c r="P779" s="286" t="s">
        <v>2729</v>
      </c>
    </row>
    <row r="780" s="92" customFormat="1" ht="20.1" customHeight="1" spans="1:16">
      <c r="A780" s="157" t="s">
        <v>2730</v>
      </c>
      <c r="B780" s="36" t="s">
        <v>1086</v>
      </c>
      <c r="C780" s="267">
        <v>1</v>
      </c>
      <c r="D780" s="268">
        <f t="shared" si="161"/>
        <v>0</v>
      </c>
      <c r="E780" s="267"/>
      <c r="F780" s="267"/>
      <c r="G780" s="267"/>
      <c r="H780" s="267"/>
      <c r="I780" s="287"/>
      <c r="J780" s="288">
        <f t="shared" si="167"/>
        <v>-100</v>
      </c>
      <c r="K780" s="276" t="s">
        <v>1087</v>
      </c>
      <c r="L780" s="33">
        <v>1</v>
      </c>
      <c r="M780" s="157" t="s">
        <v>2730</v>
      </c>
      <c r="N780" s="157"/>
      <c r="O780" s="157" t="s">
        <v>572</v>
      </c>
      <c r="P780" s="164" t="s">
        <v>1088</v>
      </c>
    </row>
    <row r="781" s="92" customFormat="1" ht="20.1" customHeight="1" spans="1:16">
      <c r="A781" s="157" t="s">
        <v>2731</v>
      </c>
      <c r="B781" s="36" t="s">
        <v>1090</v>
      </c>
      <c r="C781" s="267">
        <v>0</v>
      </c>
      <c r="D781" s="268">
        <f t="shared" si="161"/>
        <v>0</v>
      </c>
      <c r="E781" s="267"/>
      <c r="F781" s="267"/>
      <c r="G781" s="267"/>
      <c r="H781" s="267"/>
      <c r="I781" s="287"/>
      <c r="J781" s="288">
        <f t="shared" si="167"/>
        <v>0</v>
      </c>
      <c r="K781" s="276" t="s">
        <v>1087</v>
      </c>
      <c r="L781" s="33">
        <v>1</v>
      </c>
      <c r="M781" s="157" t="s">
        <v>2731</v>
      </c>
      <c r="N781" s="157"/>
      <c r="O781" s="157" t="s">
        <v>572</v>
      </c>
      <c r="P781" s="164" t="s">
        <v>1091</v>
      </c>
    </row>
    <row r="782" s="92" customFormat="1" ht="20.1" customHeight="1" spans="1:16">
      <c r="A782" s="157" t="s">
        <v>2732</v>
      </c>
      <c r="B782" s="36" t="s">
        <v>1093</v>
      </c>
      <c r="C782" s="267">
        <v>0</v>
      </c>
      <c r="D782" s="268">
        <f t="shared" si="161"/>
        <v>0</v>
      </c>
      <c r="E782" s="267"/>
      <c r="F782" s="267"/>
      <c r="G782" s="267"/>
      <c r="H782" s="267"/>
      <c r="I782" s="287"/>
      <c r="J782" s="288">
        <f t="shared" si="167"/>
        <v>0</v>
      </c>
      <c r="K782" s="276" t="s">
        <v>1087</v>
      </c>
      <c r="L782" s="33">
        <v>1</v>
      </c>
      <c r="M782" s="157" t="s">
        <v>2732</v>
      </c>
      <c r="N782" s="157"/>
      <c r="O782" s="157" t="s">
        <v>572</v>
      </c>
      <c r="P782" s="164" t="s">
        <v>1094</v>
      </c>
    </row>
    <row r="783" s="92" customFormat="1" ht="20.1" customHeight="1" spans="1:16">
      <c r="A783" s="157" t="s">
        <v>2733</v>
      </c>
      <c r="B783" s="36" t="s">
        <v>2734</v>
      </c>
      <c r="C783" s="267">
        <v>0</v>
      </c>
      <c r="D783" s="268">
        <f t="shared" si="161"/>
        <v>0</v>
      </c>
      <c r="E783" s="267"/>
      <c r="F783" s="267"/>
      <c r="G783" s="267"/>
      <c r="H783" s="267"/>
      <c r="I783" s="287"/>
      <c r="J783" s="288">
        <f t="shared" si="167"/>
        <v>0</v>
      </c>
      <c r="K783" s="276" t="s">
        <v>1087</v>
      </c>
      <c r="L783" s="33">
        <v>1</v>
      </c>
      <c r="M783" s="157" t="s">
        <v>2733</v>
      </c>
      <c r="N783" s="157"/>
      <c r="O783" s="157" t="s">
        <v>572</v>
      </c>
      <c r="P783" s="164" t="s">
        <v>2735</v>
      </c>
    </row>
    <row r="784" s="92" customFormat="1" ht="20.1" customHeight="1" spans="1:16">
      <c r="A784" s="157" t="s">
        <v>2736</v>
      </c>
      <c r="B784" s="36" t="s">
        <v>2737</v>
      </c>
      <c r="C784" s="267">
        <v>0</v>
      </c>
      <c r="D784" s="268">
        <f t="shared" si="161"/>
        <v>0</v>
      </c>
      <c r="E784" s="267"/>
      <c r="F784" s="267"/>
      <c r="G784" s="267"/>
      <c r="H784" s="267"/>
      <c r="I784" s="287"/>
      <c r="J784" s="288">
        <f t="shared" si="167"/>
        <v>0</v>
      </c>
      <c r="K784" s="276" t="s">
        <v>1087</v>
      </c>
      <c r="L784" s="33">
        <v>1</v>
      </c>
      <c r="M784" s="157" t="s">
        <v>2736</v>
      </c>
      <c r="N784" s="157"/>
      <c r="O784" s="157" t="s">
        <v>572</v>
      </c>
      <c r="P784" s="163" t="s">
        <v>2738</v>
      </c>
    </row>
    <row r="785" s="92" customFormat="1" ht="20.1" customHeight="1" spans="1:16">
      <c r="A785" s="157" t="s">
        <v>2739</v>
      </c>
      <c r="B785" s="36" t="s">
        <v>2740</v>
      </c>
      <c r="C785" s="267">
        <v>0</v>
      </c>
      <c r="D785" s="268">
        <f t="shared" si="161"/>
        <v>0</v>
      </c>
      <c r="E785" s="267"/>
      <c r="F785" s="267"/>
      <c r="G785" s="267"/>
      <c r="H785" s="267"/>
      <c r="I785" s="287"/>
      <c r="J785" s="288">
        <f t="shared" si="167"/>
        <v>0</v>
      </c>
      <c r="K785" s="276" t="s">
        <v>1087</v>
      </c>
      <c r="L785" s="33">
        <v>1</v>
      </c>
      <c r="M785" s="157" t="s">
        <v>2739</v>
      </c>
      <c r="N785" s="157"/>
      <c r="O785" s="157" t="s">
        <v>572</v>
      </c>
      <c r="P785" s="164" t="s">
        <v>2741</v>
      </c>
    </row>
    <row r="786" s="92" customFormat="1" ht="20.1" customHeight="1" spans="1:16">
      <c r="A786" s="157" t="s">
        <v>2742</v>
      </c>
      <c r="B786" s="36" t="s">
        <v>2743</v>
      </c>
      <c r="C786" s="267">
        <v>0</v>
      </c>
      <c r="D786" s="268">
        <f t="shared" si="161"/>
        <v>0</v>
      </c>
      <c r="E786" s="267"/>
      <c r="F786" s="267"/>
      <c r="G786" s="267"/>
      <c r="H786" s="267"/>
      <c r="I786" s="287"/>
      <c r="J786" s="288">
        <f t="shared" si="167"/>
        <v>0</v>
      </c>
      <c r="K786" s="276" t="s">
        <v>1087</v>
      </c>
      <c r="L786" s="33">
        <v>1</v>
      </c>
      <c r="M786" s="157" t="s">
        <v>2742</v>
      </c>
      <c r="N786" s="157"/>
      <c r="O786" s="157" t="s">
        <v>572</v>
      </c>
      <c r="P786" s="164" t="s">
        <v>2744</v>
      </c>
    </row>
    <row r="787" s="92" customFormat="1" ht="20.1" customHeight="1" spans="1:16">
      <c r="A787" s="157" t="s">
        <v>2745</v>
      </c>
      <c r="B787" s="36" t="s">
        <v>2746</v>
      </c>
      <c r="C787" s="267"/>
      <c r="D787" s="268">
        <f t="shared" si="161"/>
        <v>0</v>
      </c>
      <c r="E787" s="267"/>
      <c r="F787" s="267"/>
      <c r="G787" s="267"/>
      <c r="H787" s="267"/>
      <c r="I787" s="287"/>
      <c r="J787" s="288"/>
      <c r="K787" s="276" t="s">
        <v>1087</v>
      </c>
      <c r="L787" s="33">
        <v>1</v>
      </c>
      <c r="M787" s="157" t="s">
        <v>2745</v>
      </c>
      <c r="N787" s="157"/>
      <c r="O787" s="157" t="s">
        <v>572</v>
      </c>
      <c r="P787" s="164" t="s">
        <v>2747</v>
      </c>
    </row>
    <row r="788" s="92" customFormat="1" ht="20.1" customHeight="1" spans="1:16">
      <c r="A788" s="157" t="s">
        <v>2748</v>
      </c>
      <c r="B788" s="36" t="s">
        <v>2749</v>
      </c>
      <c r="C788" s="267">
        <v>0</v>
      </c>
      <c r="D788" s="268">
        <f t="shared" si="161"/>
        <v>0</v>
      </c>
      <c r="E788" s="267"/>
      <c r="F788" s="267"/>
      <c r="G788" s="267"/>
      <c r="H788" s="267"/>
      <c r="I788" s="287"/>
      <c r="J788" s="288">
        <f t="shared" ref="J788:J799" si="170">ROUND(IF(C788=0,IF(D788=0,0,1),IF(D788=0,-1,D788/C788)),4)*100</f>
        <v>0</v>
      </c>
      <c r="K788" s="276" t="s">
        <v>1087</v>
      </c>
      <c r="L788" s="33">
        <v>1</v>
      </c>
      <c r="M788" s="157" t="s">
        <v>2748</v>
      </c>
      <c r="N788" s="157"/>
      <c r="O788" s="157" t="s">
        <v>572</v>
      </c>
      <c r="P788" s="163" t="s">
        <v>2750</v>
      </c>
    </row>
    <row r="789" s="93" customFormat="1" ht="20.1" customHeight="1" spans="1:16">
      <c r="A789" s="263" t="s">
        <v>573</v>
      </c>
      <c r="B789" s="297" t="s">
        <v>337</v>
      </c>
      <c r="C789" s="265">
        <v>0</v>
      </c>
      <c r="D789" s="265">
        <f t="shared" si="161"/>
        <v>0</v>
      </c>
      <c r="E789" s="265">
        <f t="shared" ref="E789:H789" si="171">SUM(E790:E792)</f>
        <v>0</v>
      </c>
      <c r="F789" s="265">
        <f t="shared" si="171"/>
        <v>0</v>
      </c>
      <c r="G789" s="265">
        <f>VLOOKUP(A789,[1]√表四、2024年公共财政支出变动表!$A$7:$R$214,18,FALSE)</f>
        <v>0</v>
      </c>
      <c r="H789" s="265">
        <f t="shared" si="171"/>
        <v>0</v>
      </c>
      <c r="I789" s="265"/>
      <c r="J789" s="298">
        <f t="shared" si="170"/>
        <v>0</v>
      </c>
      <c r="K789" s="284" t="s">
        <v>1082</v>
      </c>
      <c r="L789" s="285"/>
      <c r="M789" s="263" t="s">
        <v>573</v>
      </c>
      <c r="N789" s="263" t="s">
        <v>571</v>
      </c>
      <c r="O789" s="263" t="s">
        <v>573</v>
      </c>
      <c r="P789" s="286" t="s">
        <v>2751</v>
      </c>
    </row>
    <row r="790" s="92" customFormat="1" ht="20.1" customHeight="1" spans="1:16">
      <c r="A790" s="157" t="s">
        <v>2752</v>
      </c>
      <c r="B790" s="36" t="s">
        <v>2753</v>
      </c>
      <c r="C790" s="267">
        <v>0</v>
      </c>
      <c r="D790" s="268">
        <f t="shared" si="161"/>
        <v>0</v>
      </c>
      <c r="E790" s="267"/>
      <c r="F790" s="267"/>
      <c r="G790" s="267"/>
      <c r="H790" s="267"/>
      <c r="I790" s="287"/>
      <c r="J790" s="288">
        <f t="shared" si="170"/>
        <v>0</v>
      </c>
      <c r="K790" s="276" t="s">
        <v>1087</v>
      </c>
      <c r="L790" s="33">
        <v>1</v>
      </c>
      <c r="M790" s="157" t="s">
        <v>2752</v>
      </c>
      <c r="N790" s="157"/>
      <c r="O790" s="157" t="s">
        <v>573</v>
      </c>
      <c r="P790" s="163" t="s">
        <v>2754</v>
      </c>
    </row>
    <row r="791" s="252" customFormat="1" ht="20.1" customHeight="1" spans="1:16">
      <c r="A791" s="157" t="s">
        <v>2755</v>
      </c>
      <c r="B791" s="36" t="s">
        <v>2756</v>
      </c>
      <c r="C791" s="267">
        <v>0</v>
      </c>
      <c r="D791" s="268">
        <f t="shared" si="161"/>
        <v>0</v>
      </c>
      <c r="E791" s="267"/>
      <c r="F791" s="267"/>
      <c r="G791" s="267"/>
      <c r="H791" s="267"/>
      <c r="I791" s="287"/>
      <c r="J791" s="288">
        <f t="shared" si="170"/>
        <v>0</v>
      </c>
      <c r="K791" s="276" t="s">
        <v>1087</v>
      </c>
      <c r="L791" s="33">
        <v>1</v>
      </c>
      <c r="M791" s="157" t="s">
        <v>2755</v>
      </c>
      <c r="N791" s="157"/>
      <c r="O791" s="157" t="s">
        <v>573</v>
      </c>
      <c r="P791" s="163" t="s">
        <v>2757</v>
      </c>
    </row>
    <row r="792" s="252" customFormat="1" ht="20.1" customHeight="1" spans="1:16">
      <c r="A792" s="157" t="s">
        <v>2758</v>
      </c>
      <c r="B792" s="36" t="s">
        <v>2759</v>
      </c>
      <c r="C792" s="267">
        <v>0</v>
      </c>
      <c r="D792" s="268">
        <f t="shared" si="161"/>
        <v>0</v>
      </c>
      <c r="E792" s="267"/>
      <c r="F792" s="267"/>
      <c r="G792" s="267"/>
      <c r="H792" s="267"/>
      <c r="I792" s="287"/>
      <c r="J792" s="288">
        <f t="shared" si="170"/>
        <v>0</v>
      </c>
      <c r="K792" s="276" t="s">
        <v>1087</v>
      </c>
      <c r="L792" s="33">
        <v>1</v>
      </c>
      <c r="M792" s="157" t="s">
        <v>2758</v>
      </c>
      <c r="N792" s="157"/>
      <c r="O792" s="157" t="s">
        <v>573</v>
      </c>
      <c r="P792" s="163" t="s">
        <v>2760</v>
      </c>
    </row>
    <row r="793" s="93" customFormat="1" ht="20.1" customHeight="1" spans="1:16">
      <c r="A793" s="263" t="s">
        <v>574</v>
      </c>
      <c r="B793" s="297" t="s">
        <v>338</v>
      </c>
      <c r="C793" s="265">
        <f t="shared" ref="C793:I793" si="172">SUM(C794:C801)</f>
        <v>8</v>
      </c>
      <c r="D793" s="265">
        <f t="shared" si="161"/>
        <v>79</v>
      </c>
      <c r="E793" s="265">
        <f t="shared" si="172"/>
        <v>0</v>
      </c>
      <c r="F793" s="265">
        <f t="shared" si="172"/>
        <v>0</v>
      </c>
      <c r="G793" s="265">
        <f t="shared" si="172"/>
        <v>79</v>
      </c>
      <c r="H793" s="265">
        <f t="shared" si="172"/>
        <v>0</v>
      </c>
      <c r="I793" s="265">
        <f t="shared" si="172"/>
        <v>0</v>
      </c>
      <c r="J793" s="298">
        <f t="shared" si="170"/>
        <v>987.5</v>
      </c>
      <c r="K793" s="284" t="s">
        <v>1082</v>
      </c>
      <c r="L793" s="285"/>
      <c r="M793" s="263" t="s">
        <v>574</v>
      </c>
      <c r="N793" s="263" t="s">
        <v>571</v>
      </c>
      <c r="O793" s="263" t="s">
        <v>574</v>
      </c>
      <c r="P793" s="286" t="s">
        <v>2761</v>
      </c>
    </row>
    <row r="794" s="252" customFormat="1" ht="20.1" customHeight="1" spans="1:16">
      <c r="A794" s="157" t="s">
        <v>2762</v>
      </c>
      <c r="B794" s="36" t="s">
        <v>2763</v>
      </c>
      <c r="C794" s="267">
        <v>8</v>
      </c>
      <c r="D794" s="268">
        <f t="shared" si="161"/>
        <v>6</v>
      </c>
      <c r="E794" s="267"/>
      <c r="F794" s="267"/>
      <c r="G794" s="267">
        <v>6</v>
      </c>
      <c r="H794" s="267"/>
      <c r="I794" s="287"/>
      <c r="J794" s="288">
        <f t="shared" si="170"/>
        <v>75</v>
      </c>
      <c r="K794" s="276" t="s">
        <v>1087</v>
      </c>
      <c r="L794" s="33">
        <v>1</v>
      </c>
      <c r="M794" s="157" t="s">
        <v>2762</v>
      </c>
      <c r="N794" s="157"/>
      <c r="O794" s="157" t="s">
        <v>574</v>
      </c>
      <c r="P794" s="163" t="s">
        <v>2764</v>
      </c>
    </row>
    <row r="795" s="252" customFormat="1" ht="20.1" customHeight="1" spans="1:16">
      <c r="A795" s="157" t="s">
        <v>2765</v>
      </c>
      <c r="B795" s="36" t="s">
        <v>2766</v>
      </c>
      <c r="C795" s="267"/>
      <c r="D795" s="268">
        <f t="shared" si="161"/>
        <v>73</v>
      </c>
      <c r="E795" s="267"/>
      <c r="F795" s="267"/>
      <c r="G795" s="267">
        <v>73</v>
      </c>
      <c r="H795" s="267"/>
      <c r="I795" s="287"/>
      <c r="J795" s="288">
        <f t="shared" si="170"/>
        <v>100</v>
      </c>
      <c r="K795" s="276" t="s">
        <v>1087</v>
      </c>
      <c r="L795" s="33">
        <v>1</v>
      </c>
      <c r="M795" s="157" t="s">
        <v>2765</v>
      </c>
      <c r="N795" s="157"/>
      <c r="O795" s="157" t="s">
        <v>574</v>
      </c>
      <c r="P795" s="163" t="s">
        <v>2767</v>
      </c>
    </row>
    <row r="796" s="252" customFormat="1" ht="20.1" customHeight="1" spans="1:16">
      <c r="A796" s="157" t="s">
        <v>2768</v>
      </c>
      <c r="B796" s="36" t="s">
        <v>2769</v>
      </c>
      <c r="C796" s="267">
        <v>0</v>
      </c>
      <c r="D796" s="268">
        <f t="shared" si="161"/>
        <v>0</v>
      </c>
      <c r="E796" s="267"/>
      <c r="F796" s="267"/>
      <c r="G796" s="267"/>
      <c r="H796" s="267"/>
      <c r="I796" s="287"/>
      <c r="J796" s="288">
        <f t="shared" si="170"/>
        <v>0</v>
      </c>
      <c r="K796" s="276" t="s">
        <v>1087</v>
      </c>
      <c r="L796" s="33">
        <v>1</v>
      </c>
      <c r="M796" s="157" t="s">
        <v>2768</v>
      </c>
      <c r="N796" s="157"/>
      <c r="O796" s="157" t="s">
        <v>574</v>
      </c>
      <c r="P796" s="163" t="s">
        <v>2770</v>
      </c>
    </row>
    <row r="797" s="252" customFormat="1" ht="20.1" customHeight="1" spans="1:16">
      <c r="A797" s="157" t="s">
        <v>2771</v>
      </c>
      <c r="B797" s="36" t="s">
        <v>2772</v>
      </c>
      <c r="C797" s="267">
        <v>0</v>
      </c>
      <c r="D797" s="268">
        <f t="shared" si="161"/>
        <v>0</v>
      </c>
      <c r="E797" s="267"/>
      <c r="F797" s="267"/>
      <c r="G797" s="267"/>
      <c r="H797" s="267"/>
      <c r="I797" s="287"/>
      <c r="J797" s="288">
        <f t="shared" si="170"/>
        <v>0</v>
      </c>
      <c r="K797" s="276" t="s">
        <v>1087</v>
      </c>
      <c r="L797" s="33">
        <v>1</v>
      </c>
      <c r="M797" s="157" t="s">
        <v>2771</v>
      </c>
      <c r="N797" s="157"/>
      <c r="O797" s="157" t="s">
        <v>574</v>
      </c>
      <c r="P797" s="163" t="s">
        <v>2773</v>
      </c>
    </row>
    <row r="798" s="252" customFormat="1" ht="20.1" customHeight="1" spans="1:16">
      <c r="A798" s="157" t="s">
        <v>2774</v>
      </c>
      <c r="B798" s="36" t="s">
        <v>2775</v>
      </c>
      <c r="C798" s="267">
        <v>0</v>
      </c>
      <c r="D798" s="268">
        <f t="shared" si="161"/>
        <v>0</v>
      </c>
      <c r="E798" s="267"/>
      <c r="F798" s="267"/>
      <c r="G798" s="267"/>
      <c r="H798" s="267"/>
      <c r="I798" s="287"/>
      <c r="J798" s="288">
        <f t="shared" si="170"/>
        <v>0</v>
      </c>
      <c r="K798" s="276" t="s">
        <v>1087</v>
      </c>
      <c r="L798" s="33">
        <v>1</v>
      </c>
      <c r="M798" s="157" t="s">
        <v>2774</v>
      </c>
      <c r="N798" s="157"/>
      <c r="O798" s="157" t="s">
        <v>574</v>
      </c>
      <c r="P798" s="163" t="s">
        <v>2776</v>
      </c>
    </row>
    <row r="799" s="252" customFormat="1" ht="20.1" customHeight="1" spans="1:16">
      <c r="A799" s="157" t="s">
        <v>2777</v>
      </c>
      <c r="B799" s="36" t="s">
        <v>2778</v>
      </c>
      <c r="C799" s="267">
        <v>0</v>
      </c>
      <c r="D799" s="268">
        <f t="shared" si="161"/>
        <v>0</v>
      </c>
      <c r="E799" s="267"/>
      <c r="F799" s="267"/>
      <c r="G799" s="267"/>
      <c r="H799" s="267"/>
      <c r="I799" s="287"/>
      <c r="J799" s="288">
        <f t="shared" si="170"/>
        <v>0</v>
      </c>
      <c r="K799" s="276" t="s">
        <v>1087</v>
      </c>
      <c r="L799" s="33">
        <v>1</v>
      </c>
      <c r="M799" s="157" t="s">
        <v>2777</v>
      </c>
      <c r="N799" s="157"/>
      <c r="O799" s="157" t="s">
        <v>574</v>
      </c>
      <c r="P799" s="163" t="s">
        <v>2779</v>
      </c>
    </row>
    <row r="800" s="252" customFormat="1" ht="20.1" customHeight="1" spans="1:16">
      <c r="A800" s="157" t="s">
        <v>2780</v>
      </c>
      <c r="B800" s="36" t="s">
        <v>2781</v>
      </c>
      <c r="C800" s="267"/>
      <c r="D800" s="268">
        <f t="shared" si="161"/>
        <v>0</v>
      </c>
      <c r="E800" s="267"/>
      <c r="F800" s="267"/>
      <c r="G800" s="267"/>
      <c r="H800" s="267"/>
      <c r="I800" s="287"/>
      <c r="J800" s="288"/>
      <c r="K800" s="276" t="s">
        <v>1087</v>
      </c>
      <c r="L800" s="33">
        <v>1</v>
      </c>
      <c r="M800" s="157" t="s">
        <v>2780</v>
      </c>
      <c r="N800" s="157"/>
      <c r="O800" s="157" t="s">
        <v>574</v>
      </c>
      <c r="P800" s="163" t="s">
        <v>2782</v>
      </c>
    </row>
    <row r="801" s="252" customFormat="1" ht="20.1" customHeight="1" spans="1:16">
      <c r="A801" s="157" t="s">
        <v>2783</v>
      </c>
      <c r="B801" s="36" t="s">
        <v>2784</v>
      </c>
      <c r="C801" s="267">
        <v>0</v>
      </c>
      <c r="D801" s="268">
        <f t="shared" si="161"/>
        <v>0</v>
      </c>
      <c r="E801" s="267"/>
      <c r="F801" s="267"/>
      <c r="G801" s="267"/>
      <c r="H801" s="267"/>
      <c r="I801" s="287"/>
      <c r="J801" s="288">
        <f t="shared" ref="J801:J805" si="173">ROUND(IF(C801=0,IF(D801=0,0,1),IF(D801=0,-1,D801/C801)),4)*100</f>
        <v>0</v>
      </c>
      <c r="K801" s="276" t="s">
        <v>1087</v>
      </c>
      <c r="L801" s="33">
        <v>1</v>
      </c>
      <c r="M801" s="157" t="s">
        <v>2783</v>
      </c>
      <c r="N801" s="157"/>
      <c r="O801" s="157" t="s">
        <v>574</v>
      </c>
      <c r="P801" s="163" t="s">
        <v>2785</v>
      </c>
    </row>
    <row r="802" s="93" customFormat="1" ht="20.1" customHeight="1" spans="1:16">
      <c r="A802" s="263" t="s">
        <v>575</v>
      </c>
      <c r="B802" s="297" t="s">
        <v>339</v>
      </c>
      <c r="C802" s="265">
        <f t="shared" ref="C802:I802" si="174">SUM(C803:C808)</f>
        <v>1093</v>
      </c>
      <c r="D802" s="265">
        <f t="shared" si="161"/>
        <v>2059</v>
      </c>
      <c r="E802" s="265">
        <f t="shared" si="174"/>
        <v>1140</v>
      </c>
      <c r="F802" s="265">
        <f t="shared" si="174"/>
        <v>20</v>
      </c>
      <c r="G802" s="265">
        <f t="shared" si="174"/>
        <v>899</v>
      </c>
      <c r="H802" s="265">
        <f t="shared" si="174"/>
        <v>0</v>
      </c>
      <c r="I802" s="265">
        <f t="shared" si="174"/>
        <v>0</v>
      </c>
      <c r="J802" s="298">
        <f t="shared" si="173"/>
        <v>188.38</v>
      </c>
      <c r="K802" s="284" t="s">
        <v>1082</v>
      </c>
      <c r="L802" s="285"/>
      <c r="M802" s="263" t="s">
        <v>575</v>
      </c>
      <c r="N802" s="263" t="s">
        <v>571</v>
      </c>
      <c r="O802" s="263" t="s">
        <v>575</v>
      </c>
      <c r="P802" s="286" t="s">
        <v>2786</v>
      </c>
    </row>
    <row r="803" s="252" customFormat="1" ht="20.1" customHeight="1" spans="1:16">
      <c r="A803" s="157" t="s">
        <v>2787</v>
      </c>
      <c r="B803" s="36" t="s">
        <v>2788</v>
      </c>
      <c r="C803" s="267">
        <v>1093</v>
      </c>
      <c r="D803" s="268">
        <f t="shared" si="161"/>
        <v>2029</v>
      </c>
      <c r="E803" s="267">
        <v>1140</v>
      </c>
      <c r="F803" s="267">
        <v>20</v>
      </c>
      <c r="G803" s="267">
        <v>869</v>
      </c>
      <c r="H803" s="267"/>
      <c r="I803" s="287"/>
      <c r="J803" s="288">
        <f t="shared" si="173"/>
        <v>185.64</v>
      </c>
      <c r="K803" s="276" t="s">
        <v>1087</v>
      </c>
      <c r="L803" s="33">
        <v>1</v>
      </c>
      <c r="M803" s="157" t="s">
        <v>2787</v>
      </c>
      <c r="N803" s="157"/>
      <c r="O803" s="157" t="s">
        <v>575</v>
      </c>
      <c r="P803" s="163" t="s">
        <v>2789</v>
      </c>
    </row>
    <row r="804" s="252" customFormat="1" ht="20.1" customHeight="1" spans="1:16">
      <c r="A804" s="157" t="s">
        <v>2790</v>
      </c>
      <c r="B804" s="36" t="s">
        <v>2791</v>
      </c>
      <c r="C804" s="267"/>
      <c r="D804" s="268">
        <f t="shared" si="161"/>
        <v>0</v>
      </c>
      <c r="E804" s="267"/>
      <c r="F804" s="267"/>
      <c r="G804" s="267"/>
      <c r="H804" s="267"/>
      <c r="I804" s="287"/>
      <c r="J804" s="288">
        <f t="shared" si="173"/>
        <v>0</v>
      </c>
      <c r="K804" s="276" t="s">
        <v>1087</v>
      </c>
      <c r="L804" s="33">
        <v>1</v>
      </c>
      <c r="M804" s="157" t="s">
        <v>2790</v>
      </c>
      <c r="N804" s="157"/>
      <c r="O804" s="157" t="s">
        <v>575</v>
      </c>
      <c r="P804" s="163" t="s">
        <v>2792</v>
      </c>
    </row>
    <row r="805" s="252" customFormat="1" ht="20.1" customHeight="1" spans="1:16">
      <c r="A805" s="157" t="s">
        <v>2793</v>
      </c>
      <c r="B805" s="36" t="s">
        <v>2794</v>
      </c>
      <c r="C805" s="267">
        <v>0</v>
      </c>
      <c r="D805" s="268">
        <f t="shared" si="161"/>
        <v>0</v>
      </c>
      <c r="E805" s="267"/>
      <c r="F805" s="267"/>
      <c r="G805" s="267"/>
      <c r="H805" s="267"/>
      <c r="I805" s="287"/>
      <c r="J805" s="288">
        <f t="shared" si="173"/>
        <v>0</v>
      </c>
      <c r="K805" s="276" t="s">
        <v>1087</v>
      </c>
      <c r="L805" s="33">
        <v>1</v>
      </c>
      <c r="M805" s="157" t="s">
        <v>2793</v>
      </c>
      <c r="N805" s="157"/>
      <c r="O805" s="157" t="s">
        <v>575</v>
      </c>
      <c r="P805" s="163" t="s">
        <v>2795</v>
      </c>
    </row>
    <row r="806" s="252" customFormat="1" ht="20.1" customHeight="1" spans="1:16">
      <c r="A806" s="157" t="s">
        <v>2796</v>
      </c>
      <c r="B806" s="36" t="s">
        <v>2797</v>
      </c>
      <c r="C806" s="267"/>
      <c r="D806" s="268">
        <f t="shared" si="161"/>
        <v>0</v>
      </c>
      <c r="E806" s="267"/>
      <c r="F806" s="267"/>
      <c r="G806" s="267"/>
      <c r="H806" s="267"/>
      <c r="I806" s="287"/>
      <c r="J806" s="288"/>
      <c r="K806" s="276" t="s">
        <v>1087</v>
      </c>
      <c r="L806" s="33">
        <v>1</v>
      </c>
      <c r="M806" s="157" t="s">
        <v>2796</v>
      </c>
      <c r="N806" s="157"/>
      <c r="O806" s="157" t="s">
        <v>575</v>
      </c>
      <c r="P806" s="163" t="s">
        <v>2798</v>
      </c>
    </row>
    <row r="807" s="252" customFormat="1" ht="20.1" customHeight="1" spans="1:16">
      <c r="A807" s="157" t="s">
        <v>2799</v>
      </c>
      <c r="B807" s="36" t="s">
        <v>2800</v>
      </c>
      <c r="C807" s="267"/>
      <c r="D807" s="268">
        <f t="shared" si="161"/>
        <v>24</v>
      </c>
      <c r="E807" s="267"/>
      <c r="F807" s="267"/>
      <c r="G807" s="267">
        <v>24</v>
      </c>
      <c r="H807" s="267"/>
      <c r="I807" s="287"/>
      <c r="J807" s="288">
        <f t="shared" ref="J807:J822" si="175">ROUND(IF(C807=0,IF(D807=0,0,1),IF(D807=0,-1,D807/C807)),4)*100</f>
        <v>100</v>
      </c>
      <c r="K807" s="276" t="s">
        <v>1087</v>
      </c>
      <c r="L807" s="33">
        <v>1</v>
      </c>
      <c r="M807" s="157" t="s">
        <v>2801</v>
      </c>
      <c r="N807" s="157"/>
      <c r="O807" s="157" t="s">
        <v>575</v>
      </c>
      <c r="P807" s="163" t="s">
        <v>2802</v>
      </c>
    </row>
    <row r="808" s="252" customFormat="1" ht="20.1" customHeight="1" spans="1:16">
      <c r="A808" s="157" t="s">
        <v>2803</v>
      </c>
      <c r="B808" s="36" t="s">
        <v>2804</v>
      </c>
      <c r="C808" s="267"/>
      <c r="D808" s="268">
        <f t="shared" si="161"/>
        <v>6</v>
      </c>
      <c r="E808" s="267"/>
      <c r="F808" s="267"/>
      <c r="G808" s="267">
        <v>6</v>
      </c>
      <c r="H808" s="267"/>
      <c r="I808" s="287"/>
      <c r="J808" s="288">
        <f t="shared" si="175"/>
        <v>100</v>
      </c>
      <c r="K808" s="276" t="s">
        <v>1087</v>
      </c>
      <c r="L808" s="33">
        <v>1</v>
      </c>
      <c r="M808" s="157" t="s">
        <v>2803</v>
      </c>
      <c r="N808" s="157"/>
      <c r="O808" s="157" t="s">
        <v>575</v>
      </c>
      <c r="P808" s="163" t="s">
        <v>2805</v>
      </c>
    </row>
    <row r="809" s="93" customFormat="1" ht="20.1" customHeight="1" spans="1:16">
      <c r="A809" s="263" t="s">
        <v>576</v>
      </c>
      <c r="B809" s="297" t="s">
        <v>2806</v>
      </c>
      <c r="C809" s="265">
        <f t="shared" ref="C809:I809" si="176">SUM(C810:C815)</f>
        <v>7</v>
      </c>
      <c r="D809" s="265">
        <f t="shared" si="161"/>
        <v>1537</v>
      </c>
      <c r="E809" s="265">
        <f t="shared" si="176"/>
        <v>520</v>
      </c>
      <c r="F809" s="265">
        <f t="shared" si="176"/>
        <v>0</v>
      </c>
      <c r="G809" s="265">
        <f t="shared" si="176"/>
        <v>1017</v>
      </c>
      <c r="H809" s="265">
        <f t="shared" si="176"/>
        <v>0</v>
      </c>
      <c r="I809" s="265">
        <f t="shared" si="176"/>
        <v>0</v>
      </c>
      <c r="J809" s="298">
        <f t="shared" si="175"/>
        <v>21957.14</v>
      </c>
      <c r="K809" s="284" t="s">
        <v>1082</v>
      </c>
      <c r="L809" s="285"/>
      <c r="M809" s="263" t="s">
        <v>576</v>
      </c>
      <c r="N809" s="263" t="s">
        <v>571</v>
      </c>
      <c r="O809" s="263" t="s">
        <v>576</v>
      </c>
      <c r="P809" s="286" t="s">
        <v>2807</v>
      </c>
    </row>
    <row r="810" s="252" customFormat="1" ht="20.1" customHeight="1" spans="1:16">
      <c r="A810" s="157" t="s">
        <v>2808</v>
      </c>
      <c r="B810" s="36" t="s">
        <v>2809</v>
      </c>
      <c r="C810" s="267"/>
      <c r="D810" s="268">
        <f t="shared" si="161"/>
        <v>1425</v>
      </c>
      <c r="E810" s="267">
        <v>520</v>
      </c>
      <c r="F810" s="267"/>
      <c r="G810" s="267">
        <v>905</v>
      </c>
      <c r="H810" s="267"/>
      <c r="I810" s="287"/>
      <c r="J810" s="288">
        <f t="shared" si="175"/>
        <v>100</v>
      </c>
      <c r="K810" s="276" t="s">
        <v>1087</v>
      </c>
      <c r="L810" s="33">
        <v>1</v>
      </c>
      <c r="M810" s="157" t="s">
        <v>2808</v>
      </c>
      <c r="N810" s="157"/>
      <c r="O810" s="157" t="s">
        <v>576</v>
      </c>
      <c r="P810" s="163" t="s">
        <v>2810</v>
      </c>
    </row>
    <row r="811" s="92" customFormat="1" ht="20.1" customHeight="1" spans="1:16">
      <c r="A811" s="157" t="s">
        <v>2811</v>
      </c>
      <c r="B811" s="36" t="s">
        <v>2812</v>
      </c>
      <c r="C811" s="267"/>
      <c r="D811" s="268">
        <f t="shared" si="161"/>
        <v>0</v>
      </c>
      <c r="E811" s="267"/>
      <c r="F811" s="267"/>
      <c r="G811" s="267"/>
      <c r="H811" s="267"/>
      <c r="I811" s="287"/>
      <c r="J811" s="288">
        <f t="shared" si="175"/>
        <v>0</v>
      </c>
      <c r="K811" s="276" t="s">
        <v>1087</v>
      </c>
      <c r="L811" s="33">
        <v>1</v>
      </c>
      <c r="M811" s="157" t="s">
        <v>2811</v>
      </c>
      <c r="N811" s="157"/>
      <c r="O811" s="157" t="s">
        <v>576</v>
      </c>
      <c r="P811" s="163" t="s">
        <v>2813</v>
      </c>
    </row>
    <row r="812" s="92" customFormat="1" ht="20.1" customHeight="1" spans="1:16">
      <c r="A812" s="157" t="s">
        <v>2814</v>
      </c>
      <c r="B812" s="36" t="s">
        <v>2815</v>
      </c>
      <c r="C812" s="267"/>
      <c r="D812" s="268">
        <f t="shared" si="161"/>
        <v>0</v>
      </c>
      <c r="E812" s="267"/>
      <c r="F812" s="267"/>
      <c r="G812" s="267"/>
      <c r="H812" s="267"/>
      <c r="I812" s="287"/>
      <c r="J812" s="288">
        <f t="shared" si="175"/>
        <v>0</v>
      </c>
      <c r="K812" s="276" t="s">
        <v>1087</v>
      </c>
      <c r="L812" s="33">
        <v>1</v>
      </c>
      <c r="M812" s="157" t="s">
        <v>2814</v>
      </c>
      <c r="N812" s="157"/>
      <c r="O812" s="157" t="s">
        <v>576</v>
      </c>
      <c r="P812" s="163" t="s">
        <v>2816</v>
      </c>
    </row>
    <row r="813" s="92" customFormat="1" ht="20.1" customHeight="1" spans="1:16">
      <c r="A813" s="157" t="s">
        <v>2817</v>
      </c>
      <c r="B813" s="36" t="s">
        <v>2818</v>
      </c>
      <c r="C813" s="267"/>
      <c r="D813" s="268">
        <f t="shared" si="161"/>
        <v>0</v>
      </c>
      <c r="E813" s="267"/>
      <c r="F813" s="267"/>
      <c r="G813" s="267"/>
      <c r="H813" s="267"/>
      <c r="I813" s="287"/>
      <c r="J813" s="288">
        <f t="shared" si="175"/>
        <v>0</v>
      </c>
      <c r="K813" s="276" t="s">
        <v>1087</v>
      </c>
      <c r="L813" s="33">
        <v>1</v>
      </c>
      <c r="M813" s="157" t="s">
        <v>2817</v>
      </c>
      <c r="N813" s="157"/>
      <c r="O813" s="157" t="s">
        <v>576</v>
      </c>
      <c r="P813" s="163" t="s">
        <v>2819</v>
      </c>
    </row>
    <row r="814" s="92" customFormat="1" ht="20.1" customHeight="1" spans="1:16">
      <c r="A814" s="157" t="s">
        <v>2820</v>
      </c>
      <c r="B814" s="36" t="s">
        <v>2821</v>
      </c>
      <c r="C814" s="267">
        <v>7</v>
      </c>
      <c r="D814" s="268">
        <f t="shared" si="161"/>
        <v>112</v>
      </c>
      <c r="E814" s="267"/>
      <c r="F814" s="267"/>
      <c r="G814" s="267">
        <v>112</v>
      </c>
      <c r="H814" s="267"/>
      <c r="I814" s="287"/>
      <c r="J814" s="288">
        <f t="shared" si="175"/>
        <v>1600</v>
      </c>
      <c r="K814" s="276" t="s">
        <v>1087</v>
      </c>
      <c r="L814" s="33">
        <v>1</v>
      </c>
      <c r="M814" s="157" t="s">
        <v>2820</v>
      </c>
      <c r="N814" s="157"/>
      <c r="O814" s="157" t="s">
        <v>576</v>
      </c>
      <c r="P814" s="163" t="s">
        <v>2822</v>
      </c>
    </row>
    <row r="815" s="92" customFormat="1" ht="20.1" customHeight="1" spans="1:16">
      <c r="A815" s="157" t="s">
        <v>2823</v>
      </c>
      <c r="B815" s="36" t="s">
        <v>2824</v>
      </c>
      <c r="C815" s="267">
        <v>0</v>
      </c>
      <c r="D815" s="268">
        <f t="shared" si="161"/>
        <v>0</v>
      </c>
      <c r="E815" s="267"/>
      <c r="F815" s="267"/>
      <c r="G815" s="267"/>
      <c r="H815" s="267"/>
      <c r="I815" s="287"/>
      <c r="J815" s="288">
        <f t="shared" si="175"/>
        <v>0</v>
      </c>
      <c r="K815" s="276" t="s">
        <v>1087</v>
      </c>
      <c r="L815" s="33">
        <v>1</v>
      </c>
      <c r="M815" s="157" t="s">
        <v>2823</v>
      </c>
      <c r="N815" s="157"/>
      <c r="O815" s="157" t="s">
        <v>576</v>
      </c>
      <c r="P815" s="163" t="s">
        <v>2825</v>
      </c>
    </row>
    <row r="816" s="93" customFormat="1" ht="20.1" customHeight="1" spans="1:16">
      <c r="A816" s="263" t="s">
        <v>579</v>
      </c>
      <c r="B816" s="297" t="s">
        <v>342</v>
      </c>
      <c r="C816" s="265">
        <v>0</v>
      </c>
      <c r="D816" s="265">
        <f t="shared" si="161"/>
        <v>0</v>
      </c>
      <c r="E816" s="265">
        <f t="shared" ref="E816:H816" si="177">SUM(E817:E818)</f>
        <v>0</v>
      </c>
      <c r="F816" s="265">
        <f t="shared" si="177"/>
        <v>0</v>
      </c>
      <c r="G816" s="265">
        <f>VLOOKUP(A816,[1]√表四、2024年公共财政支出变动表!$A$7:$R$214,18,FALSE)</f>
        <v>0</v>
      </c>
      <c r="H816" s="265">
        <f t="shared" si="177"/>
        <v>0</v>
      </c>
      <c r="I816" s="265"/>
      <c r="J816" s="298">
        <f t="shared" si="175"/>
        <v>0</v>
      </c>
      <c r="K816" s="284" t="s">
        <v>1082</v>
      </c>
      <c r="L816" s="285"/>
      <c r="M816" s="263" t="s">
        <v>579</v>
      </c>
      <c r="N816" s="263" t="s">
        <v>571</v>
      </c>
      <c r="O816" s="263" t="s">
        <v>579</v>
      </c>
      <c r="P816" s="286" t="s">
        <v>2826</v>
      </c>
    </row>
    <row r="817" s="92" customFormat="1" ht="20.1" customHeight="1" spans="1:16">
      <c r="A817" s="157" t="s">
        <v>2827</v>
      </c>
      <c r="B817" s="36" t="s">
        <v>2828</v>
      </c>
      <c r="C817" s="267">
        <v>0</v>
      </c>
      <c r="D817" s="268">
        <f t="shared" si="161"/>
        <v>0</v>
      </c>
      <c r="E817" s="267"/>
      <c r="F817" s="267"/>
      <c r="G817" s="267"/>
      <c r="H817" s="267"/>
      <c r="I817" s="287"/>
      <c r="J817" s="288">
        <f t="shared" si="175"/>
        <v>0</v>
      </c>
      <c r="K817" s="276" t="s">
        <v>1087</v>
      </c>
      <c r="L817" s="33">
        <v>1</v>
      </c>
      <c r="M817" s="157" t="s">
        <v>2827</v>
      </c>
      <c r="N817" s="157"/>
      <c r="O817" s="157" t="s">
        <v>579</v>
      </c>
      <c r="P817" s="163" t="s">
        <v>2829</v>
      </c>
    </row>
    <row r="818" s="92" customFormat="1" ht="20.1" customHeight="1" spans="1:16">
      <c r="A818" s="157" t="s">
        <v>2830</v>
      </c>
      <c r="B818" s="36" t="s">
        <v>2831</v>
      </c>
      <c r="C818" s="267">
        <v>0</v>
      </c>
      <c r="D818" s="268">
        <f t="shared" si="161"/>
        <v>0</v>
      </c>
      <c r="E818" s="267"/>
      <c r="F818" s="267"/>
      <c r="G818" s="267"/>
      <c r="H818" s="267"/>
      <c r="I818" s="287"/>
      <c r="J818" s="288">
        <f t="shared" si="175"/>
        <v>0</v>
      </c>
      <c r="K818" s="276" t="s">
        <v>1087</v>
      </c>
      <c r="L818" s="33">
        <v>1</v>
      </c>
      <c r="M818" s="157" t="s">
        <v>2830</v>
      </c>
      <c r="N818" s="157"/>
      <c r="O818" s="157" t="s">
        <v>579</v>
      </c>
      <c r="P818" s="163" t="s">
        <v>2832</v>
      </c>
    </row>
    <row r="819" s="93" customFormat="1" ht="20.1" customHeight="1" spans="1:16">
      <c r="A819" s="263" t="s">
        <v>580</v>
      </c>
      <c r="B819" s="297" t="s">
        <v>343</v>
      </c>
      <c r="C819" s="265">
        <v>0</v>
      </c>
      <c r="D819" s="265">
        <f t="shared" si="161"/>
        <v>0</v>
      </c>
      <c r="E819" s="265">
        <f t="shared" ref="E819:H819" si="178">SUM(E820:E821)</f>
        <v>0</v>
      </c>
      <c r="F819" s="265">
        <f t="shared" si="178"/>
        <v>0</v>
      </c>
      <c r="G819" s="265">
        <f>VLOOKUP(A819,[1]√表四、2024年公共财政支出变动表!$A$7:$R$214,18,FALSE)</f>
        <v>0</v>
      </c>
      <c r="H819" s="265">
        <f t="shared" si="178"/>
        <v>0</v>
      </c>
      <c r="I819" s="265"/>
      <c r="J819" s="298">
        <f t="shared" si="175"/>
        <v>0</v>
      </c>
      <c r="K819" s="284" t="s">
        <v>1082</v>
      </c>
      <c r="L819" s="285"/>
      <c r="M819" s="263" t="s">
        <v>580</v>
      </c>
      <c r="N819" s="263" t="s">
        <v>571</v>
      </c>
      <c r="O819" s="263" t="s">
        <v>580</v>
      </c>
      <c r="P819" s="286" t="s">
        <v>2833</v>
      </c>
    </row>
    <row r="820" s="92" customFormat="1" ht="20.1" customHeight="1" spans="1:16">
      <c r="A820" s="157" t="s">
        <v>2834</v>
      </c>
      <c r="B820" s="36" t="s">
        <v>2835</v>
      </c>
      <c r="C820" s="267">
        <v>0</v>
      </c>
      <c r="D820" s="268">
        <f t="shared" si="161"/>
        <v>0</v>
      </c>
      <c r="E820" s="267"/>
      <c r="F820" s="267"/>
      <c r="G820" s="267"/>
      <c r="H820" s="267"/>
      <c r="I820" s="287"/>
      <c r="J820" s="288">
        <f t="shared" si="175"/>
        <v>0</v>
      </c>
      <c r="K820" s="276" t="s">
        <v>1087</v>
      </c>
      <c r="L820" s="33">
        <v>1</v>
      </c>
      <c r="M820" s="157" t="s">
        <v>2834</v>
      </c>
      <c r="N820" s="157"/>
      <c r="O820" s="157" t="s">
        <v>580</v>
      </c>
      <c r="P820" s="163" t="s">
        <v>2836</v>
      </c>
    </row>
    <row r="821" s="92" customFormat="1" ht="20.1" customHeight="1" spans="1:16">
      <c r="A821" s="157" t="s">
        <v>2837</v>
      </c>
      <c r="B821" s="36" t="s">
        <v>2838</v>
      </c>
      <c r="C821" s="267">
        <v>0</v>
      </c>
      <c r="D821" s="268">
        <f t="shared" si="161"/>
        <v>0</v>
      </c>
      <c r="E821" s="267"/>
      <c r="F821" s="267"/>
      <c r="G821" s="267"/>
      <c r="H821" s="267"/>
      <c r="I821" s="287"/>
      <c r="J821" s="288">
        <f t="shared" si="175"/>
        <v>0</v>
      </c>
      <c r="K821" s="276" t="s">
        <v>1087</v>
      </c>
      <c r="L821" s="33">
        <v>1</v>
      </c>
      <c r="M821" s="157" t="s">
        <v>2837</v>
      </c>
      <c r="N821" s="157"/>
      <c r="O821" s="157" t="s">
        <v>580</v>
      </c>
      <c r="P821" s="163" t="s">
        <v>2839</v>
      </c>
    </row>
    <row r="822" s="93" customFormat="1" ht="20.1" customHeight="1" spans="1:16">
      <c r="A822" s="263" t="s">
        <v>581</v>
      </c>
      <c r="B822" s="297" t="s">
        <v>344</v>
      </c>
      <c r="C822" s="265">
        <f t="shared" ref="C822:I822" si="179">C823</f>
        <v>0</v>
      </c>
      <c r="D822" s="265">
        <f t="shared" si="161"/>
        <v>0</v>
      </c>
      <c r="E822" s="265">
        <f t="shared" si="179"/>
        <v>0</v>
      </c>
      <c r="F822" s="265">
        <f t="shared" si="179"/>
        <v>0</v>
      </c>
      <c r="G822" s="265">
        <f t="shared" si="179"/>
        <v>0</v>
      </c>
      <c r="H822" s="265">
        <f t="shared" si="179"/>
        <v>0</v>
      </c>
      <c r="I822" s="265">
        <f t="shared" si="179"/>
        <v>0</v>
      </c>
      <c r="J822" s="298">
        <f t="shared" si="175"/>
        <v>0</v>
      </c>
      <c r="K822" s="284" t="s">
        <v>1082</v>
      </c>
      <c r="L822" s="285">
        <v>1</v>
      </c>
      <c r="M822" s="263" t="s">
        <v>581</v>
      </c>
      <c r="N822" s="263" t="s">
        <v>571</v>
      </c>
      <c r="O822" s="263" t="s">
        <v>581</v>
      </c>
      <c r="P822" s="286" t="s">
        <v>2840</v>
      </c>
    </row>
    <row r="823" s="92" customFormat="1" ht="20.1" customHeight="1" spans="1:16">
      <c r="A823" s="157" t="s">
        <v>2841</v>
      </c>
      <c r="B823" s="269" t="s">
        <v>2842</v>
      </c>
      <c r="C823" s="267"/>
      <c r="D823" s="267">
        <f t="shared" si="161"/>
        <v>0</v>
      </c>
      <c r="E823" s="267"/>
      <c r="F823" s="267"/>
      <c r="G823" s="267"/>
      <c r="H823" s="267"/>
      <c r="I823" s="267"/>
      <c r="J823" s="159"/>
      <c r="K823" s="276" t="s">
        <v>1087</v>
      </c>
      <c r="L823" s="33">
        <v>1</v>
      </c>
      <c r="M823" s="42">
        <v>2110901</v>
      </c>
      <c r="N823" s="157"/>
      <c r="O823" s="157" t="s">
        <v>581</v>
      </c>
      <c r="P823" s="163" t="s">
        <v>2840</v>
      </c>
    </row>
    <row r="824" s="93" customFormat="1" ht="20.1" customHeight="1" spans="1:16">
      <c r="A824" s="263" t="s">
        <v>582</v>
      </c>
      <c r="B824" s="297" t="s">
        <v>345</v>
      </c>
      <c r="C824" s="265">
        <f t="shared" ref="C824:I824" si="180">C825</f>
        <v>13</v>
      </c>
      <c r="D824" s="265">
        <f t="shared" si="161"/>
        <v>0</v>
      </c>
      <c r="E824" s="265">
        <f t="shared" si="180"/>
        <v>0</v>
      </c>
      <c r="F824" s="265">
        <f t="shared" si="180"/>
        <v>0</v>
      </c>
      <c r="G824" s="265">
        <f t="shared" si="180"/>
        <v>0</v>
      </c>
      <c r="H824" s="265">
        <f t="shared" si="180"/>
        <v>0</v>
      </c>
      <c r="I824" s="265">
        <f t="shared" si="180"/>
        <v>0</v>
      </c>
      <c r="J824" s="298">
        <f t="shared" ref="J824:J832" si="181">ROUND(IF(C824=0,IF(D824=0,0,1),IF(D824=0,-1,D824/C824)),4)*100</f>
        <v>-100</v>
      </c>
      <c r="K824" s="284" t="s">
        <v>1082</v>
      </c>
      <c r="L824" s="285">
        <v>1</v>
      </c>
      <c r="M824" s="263" t="s">
        <v>582</v>
      </c>
      <c r="N824" s="263" t="s">
        <v>571</v>
      </c>
      <c r="O824" s="263" t="s">
        <v>582</v>
      </c>
      <c r="P824" s="286" t="s">
        <v>2843</v>
      </c>
    </row>
    <row r="825" s="92" customFormat="1" ht="20.1" customHeight="1" spans="1:16">
      <c r="A825" s="157" t="s">
        <v>2844</v>
      </c>
      <c r="B825" s="269" t="s">
        <v>2845</v>
      </c>
      <c r="C825" s="267">
        <v>13</v>
      </c>
      <c r="D825" s="267">
        <f t="shared" ref="D825:D836" si="182">SUM(E825:I825)</f>
        <v>0</v>
      </c>
      <c r="E825" s="267"/>
      <c r="F825" s="267"/>
      <c r="G825" s="267"/>
      <c r="H825" s="267"/>
      <c r="I825" s="267"/>
      <c r="J825" s="159"/>
      <c r="K825" s="276" t="s">
        <v>1087</v>
      </c>
      <c r="L825" s="33">
        <v>1</v>
      </c>
      <c r="M825" s="172" t="s">
        <v>2844</v>
      </c>
      <c r="N825" s="157"/>
      <c r="O825" s="157" t="s">
        <v>582</v>
      </c>
      <c r="P825" s="163" t="s">
        <v>2843</v>
      </c>
    </row>
    <row r="826" s="93" customFormat="1" ht="20.1" customHeight="1" spans="1:16">
      <c r="A826" s="263" t="s">
        <v>583</v>
      </c>
      <c r="B826" s="297" t="s">
        <v>346</v>
      </c>
      <c r="C826" s="265">
        <v>0</v>
      </c>
      <c r="D826" s="265">
        <f t="shared" si="182"/>
        <v>100</v>
      </c>
      <c r="E826" s="265">
        <f t="shared" ref="E826:I826" si="183">SUM(E827:E831)</f>
        <v>0</v>
      </c>
      <c r="F826" s="265">
        <f t="shared" si="183"/>
        <v>0</v>
      </c>
      <c r="G826" s="265">
        <f t="shared" si="183"/>
        <v>0</v>
      </c>
      <c r="H826" s="265">
        <f t="shared" si="183"/>
        <v>0</v>
      </c>
      <c r="I826" s="265">
        <f t="shared" si="183"/>
        <v>100</v>
      </c>
      <c r="J826" s="298">
        <f t="shared" si="181"/>
        <v>100</v>
      </c>
      <c r="K826" s="284" t="s">
        <v>1082</v>
      </c>
      <c r="L826" s="285"/>
      <c r="M826" s="263" t="s">
        <v>583</v>
      </c>
      <c r="N826" s="263" t="s">
        <v>571</v>
      </c>
      <c r="O826" s="263" t="s">
        <v>583</v>
      </c>
      <c r="P826" s="286" t="s">
        <v>2846</v>
      </c>
    </row>
    <row r="827" s="92" customFormat="1" ht="20.1" customHeight="1" spans="1:16">
      <c r="A827" s="157" t="s">
        <v>2847</v>
      </c>
      <c r="B827" s="36" t="s">
        <v>2848</v>
      </c>
      <c r="C827" s="267">
        <v>0</v>
      </c>
      <c r="D827" s="268">
        <f t="shared" si="182"/>
        <v>100</v>
      </c>
      <c r="E827" s="267"/>
      <c r="F827" s="267"/>
      <c r="G827" s="267"/>
      <c r="H827" s="267"/>
      <c r="I827" s="287">
        <v>100</v>
      </c>
      <c r="J827" s="288">
        <f t="shared" si="181"/>
        <v>100</v>
      </c>
      <c r="K827" s="276" t="s">
        <v>1087</v>
      </c>
      <c r="L827" s="33">
        <v>1</v>
      </c>
      <c r="M827" s="157" t="s">
        <v>2847</v>
      </c>
      <c r="N827" s="157"/>
      <c r="O827" s="157" t="s">
        <v>583</v>
      </c>
      <c r="P827" s="164" t="s">
        <v>2849</v>
      </c>
    </row>
    <row r="828" s="92" customFormat="1" ht="20.1" customHeight="1" spans="1:16">
      <c r="A828" s="157" t="s">
        <v>2850</v>
      </c>
      <c r="B828" s="36" t="s">
        <v>2851</v>
      </c>
      <c r="C828" s="267">
        <v>0</v>
      </c>
      <c r="D828" s="268">
        <f t="shared" si="182"/>
        <v>0</v>
      </c>
      <c r="E828" s="267"/>
      <c r="F828" s="267"/>
      <c r="G828" s="267"/>
      <c r="H828" s="267"/>
      <c r="I828" s="287"/>
      <c r="J828" s="288">
        <f t="shared" si="181"/>
        <v>0</v>
      </c>
      <c r="K828" s="276" t="s">
        <v>1087</v>
      </c>
      <c r="L828" s="33">
        <v>1</v>
      </c>
      <c r="M828" s="157" t="s">
        <v>2850</v>
      </c>
      <c r="N828" s="157"/>
      <c r="O828" s="157" t="s">
        <v>583</v>
      </c>
      <c r="P828" s="164" t="s">
        <v>2852</v>
      </c>
    </row>
    <row r="829" s="92" customFormat="1" ht="20.1" customHeight="1" spans="1:16">
      <c r="A829" s="157" t="s">
        <v>2853</v>
      </c>
      <c r="B829" s="36" t="s">
        <v>2854</v>
      </c>
      <c r="C829" s="267">
        <v>0</v>
      </c>
      <c r="D829" s="268">
        <f t="shared" si="182"/>
        <v>0</v>
      </c>
      <c r="E829" s="267"/>
      <c r="F829" s="267"/>
      <c r="G829" s="267"/>
      <c r="H829" s="267"/>
      <c r="I829" s="287"/>
      <c r="J829" s="288">
        <f t="shared" si="181"/>
        <v>0</v>
      </c>
      <c r="K829" s="276" t="s">
        <v>1087</v>
      </c>
      <c r="L829" s="33">
        <v>1</v>
      </c>
      <c r="M829" s="157" t="s">
        <v>2853</v>
      </c>
      <c r="N829" s="157"/>
      <c r="O829" s="157" t="s">
        <v>583</v>
      </c>
      <c r="P829" s="163" t="s">
        <v>2855</v>
      </c>
    </row>
    <row r="830" s="92" customFormat="1" ht="20.1" customHeight="1" spans="1:16">
      <c r="A830" s="157" t="s">
        <v>2856</v>
      </c>
      <c r="B830" s="36" t="s">
        <v>2857</v>
      </c>
      <c r="C830" s="267">
        <v>0</v>
      </c>
      <c r="D830" s="268">
        <f t="shared" si="182"/>
        <v>0</v>
      </c>
      <c r="E830" s="267"/>
      <c r="F830" s="267"/>
      <c r="G830" s="267"/>
      <c r="H830" s="267"/>
      <c r="I830" s="287"/>
      <c r="J830" s="288">
        <f t="shared" si="181"/>
        <v>0</v>
      </c>
      <c r="K830" s="276" t="s">
        <v>1087</v>
      </c>
      <c r="L830" s="33">
        <v>1</v>
      </c>
      <c r="M830" s="157" t="s">
        <v>2856</v>
      </c>
      <c r="N830" s="157"/>
      <c r="O830" s="157" t="s">
        <v>583</v>
      </c>
      <c r="P830" s="163" t="s">
        <v>2858</v>
      </c>
    </row>
    <row r="831" s="92" customFormat="1" ht="20.1" customHeight="1" spans="1:16">
      <c r="A831" s="157" t="s">
        <v>2859</v>
      </c>
      <c r="B831" s="36" t="s">
        <v>2860</v>
      </c>
      <c r="C831" s="267">
        <v>0</v>
      </c>
      <c r="D831" s="268">
        <f t="shared" si="182"/>
        <v>0</v>
      </c>
      <c r="E831" s="267"/>
      <c r="F831" s="267"/>
      <c r="G831" s="267"/>
      <c r="H831" s="267"/>
      <c r="I831" s="287"/>
      <c r="J831" s="288">
        <f t="shared" si="181"/>
        <v>0</v>
      </c>
      <c r="K831" s="276" t="s">
        <v>1087</v>
      </c>
      <c r="L831" s="33">
        <v>1</v>
      </c>
      <c r="M831" s="157" t="s">
        <v>2859</v>
      </c>
      <c r="N831" s="157"/>
      <c r="O831" s="157" t="s">
        <v>583</v>
      </c>
      <c r="P831" s="163" t="s">
        <v>2861</v>
      </c>
    </row>
    <row r="832" s="93" customFormat="1" ht="20.1" customHeight="1" spans="1:16">
      <c r="A832" s="263" t="s">
        <v>584</v>
      </c>
      <c r="B832" s="297" t="s">
        <v>2862</v>
      </c>
      <c r="C832" s="265">
        <f t="shared" ref="C832:I832" si="184">SUM(C833:C834)</f>
        <v>20</v>
      </c>
      <c r="D832" s="265">
        <f t="shared" si="182"/>
        <v>240</v>
      </c>
      <c r="E832" s="265">
        <f t="shared" si="184"/>
        <v>0</v>
      </c>
      <c r="F832" s="265">
        <f t="shared" si="184"/>
        <v>0</v>
      </c>
      <c r="G832" s="265">
        <f t="shared" si="184"/>
        <v>240</v>
      </c>
      <c r="H832" s="265">
        <f t="shared" si="184"/>
        <v>0</v>
      </c>
      <c r="I832" s="265">
        <f t="shared" si="184"/>
        <v>0</v>
      </c>
      <c r="J832" s="298">
        <f t="shared" si="181"/>
        <v>1200</v>
      </c>
      <c r="K832" s="284" t="s">
        <v>1082</v>
      </c>
      <c r="L832" s="285">
        <v>1</v>
      </c>
      <c r="M832" s="263" t="s">
        <v>584</v>
      </c>
      <c r="N832" s="263" t="s">
        <v>571</v>
      </c>
      <c r="O832" s="263" t="s">
        <v>584</v>
      </c>
      <c r="P832" s="286" t="s">
        <v>2863</v>
      </c>
    </row>
    <row r="833" s="93" customFormat="1" ht="20.1" customHeight="1" spans="1:16">
      <c r="A833" s="157" t="s">
        <v>2864</v>
      </c>
      <c r="B833" s="36" t="s">
        <v>2865</v>
      </c>
      <c r="C833" s="268">
        <v>20</v>
      </c>
      <c r="D833" s="268">
        <f t="shared" si="182"/>
        <v>240</v>
      </c>
      <c r="E833" s="268"/>
      <c r="F833" s="268"/>
      <c r="G833" s="268">
        <v>240</v>
      </c>
      <c r="H833" s="268"/>
      <c r="I833" s="268"/>
      <c r="J833" s="308"/>
      <c r="K833" s="276" t="s">
        <v>1087</v>
      </c>
      <c r="L833" s="33">
        <v>1</v>
      </c>
      <c r="M833" s="157" t="s">
        <v>2864</v>
      </c>
      <c r="N833" s="294"/>
      <c r="O833" s="157" t="s">
        <v>584</v>
      </c>
      <c r="P833" s="36" t="s">
        <v>2863</v>
      </c>
    </row>
    <row r="834" s="92" customFormat="1" ht="20.1" customHeight="1" spans="1:16">
      <c r="A834" s="157" t="s">
        <v>2866</v>
      </c>
      <c r="B834" s="36" t="s">
        <v>2867</v>
      </c>
      <c r="C834" s="267">
        <v>0</v>
      </c>
      <c r="D834" s="268">
        <f t="shared" si="182"/>
        <v>0</v>
      </c>
      <c r="E834" s="267"/>
      <c r="F834" s="267"/>
      <c r="G834" s="267"/>
      <c r="H834" s="267"/>
      <c r="I834" s="287"/>
      <c r="J834" s="288"/>
      <c r="K834" s="276" t="s">
        <v>1087</v>
      </c>
      <c r="L834" s="33">
        <v>1</v>
      </c>
      <c r="M834" s="157" t="s">
        <v>2866</v>
      </c>
      <c r="N834" s="157"/>
      <c r="O834" s="157" t="s">
        <v>584</v>
      </c>
      <c r="P834" s="36" t="s">
        <v>2868</v>
      </c>
    </row>
    <row r="835" s="93" customFormat="1" ht="20.1" customHeight="1" spans="1:16">
      <c r="A835" s="263" t="s">
        <v>585</v>
      </c>
      <c r="B835" s="297" t="s">
        <v>348</v>
      </c>
      <c r="C835" s="265">
        <f t="shared" ref="C835:I835" si="185">C836</f>
        <v>0</v>
      </c>
      <c r="D835" s="265">
        <f t="shared" si="182"/>
        <v>0</v>
      </c>
      <c r="E835" s="265">
        <f t="shared" si="185"/>
        <v>0</v>
      </c>
      <c r="F835" s="265">
        <f t="shared" si="185"/>
        <v>0</v>
      </c>
      <c r="G835" s="265">
        <f t="shared" si="185"/>
        <v>0</v>
      </c>
      <c r="H835" s="265">
        <f t="shared" si="185"/>
        <v>0</v>
      </c>
      <c r="I835" s="265">
        <f t="shared" si="185"/>
        <v>0</v>
      </c>
      <c r="J835" s="298">
        <f t="shared" ref="J835:J848" si="186">ROUND(IF(C835=0,IF(D835=0,0,1),IF(D835=0,-1,D835/C835)),4)*100</f>
        <v>0</v>
      </c>
      <c r="K835" s="284" t="s">
        <v>1082</v>
      </c>
      <c r="L835" s="285">
        <v>1</v>
      </c>
      <c r="M835" s="263" t="s">
        <v>585</v>
      </c>
      <c r="N835" s="263" t="s">
        <v>571</v>
      </c>
      <c r="O835" s="263" t="s">
        <v>585</v>
      </c>
      <c r="P835" s="286" t="s">
        <v>2869</v>
      </c>
    </row>
    <row r="836" s="92" customFormat="1" ht="20.1" customHeight="1" spans="1:16">
      <c r="A836" s="157" t="s">
        <v>2870</v>
      </c>
      <c r="B836" s="269" t="s">
        <v>2871</v>
      </c>
      <c r="C836" s="267"/>
      <c r="D836" s="267">
        <f t="shared" si="182"/>
        <v>0</v>
      </c>
      <c r="E836" s="267"/>
      <c r="F836" s="267"/>
      <c r="G836" s="267"/>
      <c r="H836" s="267"/>
      <c r="I836" s="267"/>
      <c r="J836" s="159"/>
      <c r="K836" s="276" t="s">
        <v>1087</v>
      </c>
      <c r="L836" s="33">
        <v>1</v>
      </c>
      <c r="M836" s="157" t="s">
        <v>2870</v>
      </c>
      <c r="N836" s="157"/>
      <c r="O836" s="157" t="s">
        <v>585</v>
      </c>
      <c r="P836" s="163" t="s">
        <v>2869</v>
      </c>
    </row>
    <row r="837" s="93" customFormat="1" ht="20.1" customHeight="1" spans="1:16">
      <c r="A837" s="263" t="s">
        <v>586</v>
      </c>
      <c r="B837" s="297" t="s">
        <v>349</v>
      </c>
      <c r="C837" s="265">
        <f t="shared" ref="C837:I837" si="187">SUM(C838:C847)</f>
        <v>0</v>
      </c>
      <c r="D837" s="265">
        <f t="shared" si="187"/>
        <v>237</v>
      </c>
      <c r="E837" s="265">
        <f t="shared" si="187"/>
        <v>0</v>
      </c>
      <c r="F837" s="265">
        <f t="shared" si="187"/>
        <v>0</v>
      </c>
      <c r="G837" s="265">
        <f t="shared" si="187"/>
        <v>0</v>
      </c>
      <c r="H837" s="265">
        <f t="shared" si="187"/>
        <v>0</v>
      </c>
      <c r="I837" s="265">
        <f t="shared" si="187"/>
        <v>237</v>
      </c>
      <c r="J837" s="298">
        <f t="shared" si="186"/>
        <v>100</v>
      </c>
      <c r="K837" s="284" t="s">
        <v>1082</v>
      </c>
      <c r="L837" s="285"/>
      <c r="M837" s="263" t="s">
        <v>586</v>
      </c>
      <c r="N837" s="263" t="s">
        <v>571</v>
      </c>
      <c r="O837" s="263" t="s">
        <v>586</v>
      </c>
      <c r="P837" s="286" t="s">
        <v>2872</v>
      </c>
    </row>
    <row r="838" s="92" customFormat="1" ht="20.1" customHeight="1" spans="1:16">
      <c r="A838" s="157" t="s">
        <v>2873</v>
      </c>
      <c r="B838" s="36" t="s">
        <v>1086</v>
      </c>
      <c r="C838" s="267">
        <v>0</v>
      </c>
      <c r="D838" s="268">
        <f t="shared" ref="D838:D901" si="188">SUM(E838:I838)</f>
        <v>0</v>
      </c>
      <c r="E838" s="267"/>
      <c r="F838" s="267"/>
      <c r="G838" s="267"/>
      <c r="H838" s="267"/>
      <c r="I838" s="287"/>
      <c r="J838" s="288">
        <f t="shared" si="186"/>
        <v>0</v>
      </c>
      <c r="K838" s="276" t="s">
        <v>1087</v>
      </c>
      <c r="L838" s="33">
        <v>1</v>
      </c>
      <c r="M838" s="157" t="s">
        <v>2873</v>
      </c>
      <c r="N838" s="157"/>
      <c r="O838" s="157" t="s">
        <v>586</v>
      </c>
      <c r="P838" s="164" t="s">
        <v>1088</v>
      </c>
    </row>
    <row r="839" s="92" customFormat="1" ht="20.1" customHeight="1" spans="1:16">
      <c r="A839" s="157" t="s">
        <v>2874</v>
      </c>
      <c r="B839" s="36" t="s">
        <v>1090</v>
      </c>
      <c r="C839" s="267">
        <v>0</v>
      </c>
      <c r="D839" s="268">
        <f t="shared" si="188"/>
        <v>0</v>
      </c>
      <c r="E839" s="267"/>
      <c r="F839" s="267"/>
      <c r="G839" s="267"/>
      <c r="H839" s="267"/>
      <c r="I839" s="287"/>
      <c r="J839" s="288">
        <f t="shared" si="186"/>
        <v>0</v>
      </c>
      <c r="K839" s="276" t="s">
        <v>1087</v>
      </c>
      <c r="L839" s="33">
        <v>1</v>
      </c>
      <c r="M839" s="157" t="s">
        <v>2874</v>
      </c>
      <c r="N839" s="157"/>
      <c r="O839" s="157" t="s">
        <v>586</v>
      </c>
      <c r="P839" s="164" t="s">
        <v>1091</v>
      </c>
    </row>
    <row r="840" s="92" customFormat="1" ht="20.1" customHeight="1" spans="1:16">
      <c r="A840" s="157" t="s">
        <v>2875</v>
      </c>
      <c r="B840" s="36" t="s">
        <v>1093</v>
      </c>
      <c r="C840" s="267">
        <v>0</v>
      </c>
      <c r="D840" s="268">
        <f t="shared" si="188"/>
        <v>0</v>
      </c>
      <c r="E840" s="267"/>
      <c r="F840" s="267"/>
      <c r="G840" s="267"/>
      <c r="H840" s="267"/>
      <c r="I840" s="287"/>
      <c r="J840" s="288">
        <f t="shared" si="186"/>
        <v>0</v>
      </c>
      <c r="K840" s="276" t="s">
        <v>1087</v>
      </c>
      <c r="L840" s="33">
        <v>1</v>
      </c>
      <c r="M840" s="157" t="s">
        <v>2875</v>
      </c>
      <c r="N840" s="157"/>
      <c r="O840" s="157" t="s">
        <v>586</v>
      </c>
      <c r="P840" s="164" t="s">
        <v>1094</v>
      </c>
    </row>
    <row r="841" s="92" customFormat="1" ht="20.1" customHeight="1" spans="1:16">
      <c r="A841" s="157" t="s">
        <v>2876</v>
      </c>
      <c r="B841" s="36" t="s">
        <v>2877</v>
      </c>
      <c r="C841" s="267">
        <v>0</v>
      </c>
      <c r="D841" s="268">
        <f t="shared" si="188"/>
        <v>0</v>
      </c>
      <c r="E841" s="267"/>
      <c r="F841" s="267"/>
      <c r="G841" s="267"/>
      <c r="H841" s="267"/>
      <c r="I841" s="287"/>
      <c r="J841" s="288">
        <f t="shared" si="186"/>
        <v>0</v>
      </c>
      <c r="K841" s="276" t="s">
        <v>1087</v>
      </c>
      <c r="L841" s="33">
        <v>1</v>
      </c>
      <c r="M841" s="157" t="s">
        <v>2876</v>
      </c>
      <c r="N841" s="157"/>
      <c r="O841" s="157" t="s">
        <v>586</v>
      </c>
      <c r="P841" s="163" t="s">
        <v>2878</v>
      </c>
    </row>
    <row r="842" s="92" customFormat="1" ht="20.1" customHeight="1" spans="1:16">
      <c r="A842" s="157" t="s">
        <v>2879</v>
      </c>
      <c r="B842" s="36" t="s">
        <v>2880</v>
      </c>
      <c r="C842" s="267">
        <v>0</v>
      </c>
      <c r="D842" s="268">
        <f t="shared" si="188"/>
        <v>0</v>
      </c>
      <c r="E842" s="267"/>
      <c r="F842" s="267"/>
      <c r="G842" s="267"/>
      <c r="H842" s="267"/>
      <c r="I842" s="287"/>
      <c r="J842" s="288">
        <f t="shared" si="186"/>
        <v>0</v>
      </c>
      <c r="K842" s="276" t="s">
        <v>1087</v>
      </c>
      <c r="L842" s="33">
        <v>1</v>
      </c>
      <c r="M842" s="157" t="s">
        <v>2879</v>
      </c>
      <c r="N842" s="157"/>
      <c r="O842" s="157" t="s">
        <v>586</v>
      </c>
      <c r="P842" s="163" t="s">
        <v>2881</v>
      </c>
    </row>
    <row r="843" s="92" customFormat="1" ht="20.1" customHeight="1" spans="1:16">
      <c r="A843" s="157" t="s">
        <v>2882</v>
      </c>
      <c r="B843" s="36" t="s">
        <v>2883</v>
      </c>
      <c r="C843" s="267">
        <v>0</v>
      </c>
      <c r="D843" s="268">
        <f t="shared" si="188"/>
        <v>0</v>
      </c>
      <c r="E843" s="267"/>
      <c r="F843" s="267"/>
      <c r="G843" s="267"/>
      <c r="H843" s="267"/>
      <c r="I843" s="287"/>
      <c r="J843" s="288">
        <f t="shared" si="186"/>
        <v>0</v>
      </c>
      <c r="K843" s="276" t="s">
        <v>1087</v>
      </c>
      <c r="L843" s="33">
        <v>1</v>
      </c>
      <c r="M843" s="157" t="s">
        <v>2882</v>
      </c>
      <c r="N843" s="157"/>
      <c r="O843" s="157" t="s">
        <v>586</v>
      </c>
      <c r="P843" s="163" t="s">
        <v>2884</v>
      </c>
    </row>
    <row r="844" s="92" customFormat="1" ht="20.1" customHeight="1" spans="1:16">
      <c r="A844" s="157" t="s">
        <v>2885</v>
      </c>
      <c r="B844" s="36" t="s">
        <v>1217</v>
      </c>
      <c r="C844" s="267">
        <v>0</v>
      </c>
      <c r="D844" s="268">
        <f t="shared" si="188"/>
        <v>237</v>
      </c>
      <c r="E844" s="267"/>
      <c r="F844" s="267"/>
      <c r="G844" s="267"/>
      <c r="H844" s="267"/>
      <c r="I844" s="287">
        <v>237</v>
      </c>
      <c r="J844" s="288">
        <f t="shared" si="186"/>
        <v>100</v>
      </c>
      <c r="K844" s="276" t="s">
        <v>1087</v>
      </c>
      <c r="L844" s="33">
        <v>1</v>
      </c>
      <c r="M844" s="157" t="s">
        <v>2885</v>
      </c>
      <c r="N844" s="157"/>
      <c r="O844" s="157" t="s">
        <v>586</v>
      </c>
      <c r="P844" s="164" t="s">
        <v>1218</v>
      </c>
    </row>
    <row r="845" s="92" customFormat="1" ht="20.1" customHeight="1" spans="1:16">
      <c r="A845" s="157" t="s">
        <v>2886</v>
      </c>
      <c r="B845" s="36" t="s">
        <v>2887</v>
      </c>
      <c r="C845" s="267">
        <v>0</v>
      </c>
      <c r="D845" s="268">
        <f t="shared" si="188"/>
        <v>0</v>
      </c>
      <c r="E845" s="267"/>
      <c r="F845" s="267"/>
      <c r="G845" s="267"/>
      <c r="H845" s="267"/>
      <c r="I845" s="287"/>
      <c r="J845" s="288">
        <f t="shared" si="186"/>
        <v>0</v>
      </c>
      <c r="K845" s="276" t="s">
        <v>1087</v>
      </c>
      <c r="L845" s="33">
        <v>1</v>
      </c>
      <c r="M845" s="157" t="s">
        <v>2886</v>
      </c>
      <c r="N845" s="157"/>
      <c r="O845" s="157" t="s">
        <v>586</v>
      </c>
      <c r="P845" s="163" t="s">
        <v>2888</v>
      </c>
    </row>
    <row r="846" s="92" customFormat="1" ht="20.1" customHeight="1" spans="1:16">
      <c r="A846" s="157" t="s">
        <v>2889</v>
      </c>
      <c r="B846" s="36" t="s">
        <v>1114</v>
      </c>
      <c r="C846" s="267">
        <v>0</v>
      </c>
      <c r="D846" s="268">
        <f t="shared" si="188"/>
        <v>0</v>
      </c>
      <c r="E846" s="267"/>
      <c r="F846" s="267"/>
      <c r="G846" s="267"/>
      <c r="H846" s="267"/>
      <c r="I846" s="287"/>
      <c r="J846" s="288">
        <f t="shared" si="186"/>
        <v>0</v>
      </c>
      <c r="K846" s="276" t="s">
        <v>1087</v>
      </c>
      <c r="L846" s="33">
        <v>1</v>
      </c>
      <c r="M846" s="157" t="s">
        <v>2889</v>
      </c>
      <c r="N846" s="157"/>
      <c r="O846" s="157" t="s">
        <v>586</v>
      </c>
      <c r="P846" s="164" t="s">
        <v>1115</v>
      </c>
    </row>
    <row r="847" s="92" customFormat="1" ht="20.1" customHeight="1" spans="1:16">
      <c r="A847" s="157" t="s">
        <v>2890</v>
      </c>
      <c r="B847" s="36" t="s">
        <v>2891</v>
      </c>
      <c r="C847" s="267">
        <v>0</v>
      </c>
      <c r="D847" s="268">
        <f t="shared" si="188"/>
        <v>0</v>
      </c>
      <c r="E847" s="267"/>
      <c r="F847" s="267"/>
      <c r="G847" s="267"/>
      <c r="H847" s="267"/>
      <c r="I847" s="287"/>
      <c r="J847" s="288">
        <f t="shared" si="186"/>
        <v>0</v>
      </c>
      <c r="K847" s="276" t="s">
        <v>1087</v>
      </c>
      <c r="L847" s="33">
        <v>1</v>
      </c>
      <c r="M847" s="157" t="s">
        <v>2890</v>
      </c>
      <c r="N847" s="157"/>
      <c r="O847" s="157" t="s">
        <v>586</v>
      </c>
      <c r="P847" s="163" t="s">
        <v>2892</v>
      </c>
    </row>
    <row r="848" s="93" customFormat="1" ht="20.1" customHeight="1" spans="1:16">
      <c r="A848" s="263" t="s">
        <v>587</v>
      </c>
      <c r="B848" s="297" t="s">
        <v>350</v>
      </c>
      <c r="C848" s="265">
        <f t="shared" ref="C848:I848" si="189">C849</f>
        <v>0</v>
      </c>
      <c r="D848" s="265">
        <f t="shared" si="188"/>
        <v>0</v>
      </c>
      <c r="E848" s="265">
        <f t="shared" si="189"/>
        <v>0</v>
      </c>
      <c r="F848" s="265">
        <f t="shared" si="189"/>
        <v>0</v>
      </c>
      <c r="G848" s="265">
        <f t="shared" si="189"/>
        <v>0</v>
      </c>
      <c r="H848" s="265">
        <f t="shared" si="189"/>
        <v>0</v>
      </c>
      <c r="I848" s="265">
        <f t="shared" si="189"/>
        <v>0</v>
      </c>
      <c r="J848" s="298">
        <f t="shared" si="186"/>
        <v>0</v>
      </c>
      <c r="K848" s="284" t="s">
        <v>1082</v>
      </c>
      <c r="L848" s="285">
        <v>1</v>
      </c>
      <c r="M848" s="263" t="s">
        <v>587</v>
      </c>
      <c r="N848" s="263" t="s">
        <v>571</v>
      </c>
      <c r="O848" s="263" t="s">
        <v>587</v>
      </c>
      <c r="P848" s="286" t="s">
        <v>2893</v>
      </c>
    </row>
    <row r="849" s="92" customFormat="1" ht="20.1" customHeight="1" spans="1:16">
      <c r="A849" s="157" t="s">
        <v>2894</v>
      </c>
      <c r="B849" s="269" t="s">
        <v>2895</v>
      </c>
      <c r="C849" s="267"/>
      <c r="D849" s="267">
        <f t="shared" si="188"/>
        <v>0</v>
      </c>
      <c r="E849" s="267"/>
      <c r="F849" s="267"/>
      <c r="G849" s="267"/>
      <c r="H849" s="267"/>
      <c r="I849" s="267"/>
      <c r="J849" s="159"/>
      <c r="K849" s="276" t="s">
        <v>1087</v>
      </c>
      <c r="L849" s="33">
        <v>1</v>
      </c>
      <c r="M849" s="157" t="s">
        <v>2894</v>
      </c>
      <c r="N849" s="157"/>
      <c r="O849" s="157" t="s">
        <v>587</v>
      </c>
      <c r="P849" s="163" t="s">
        <v>2893</v>
      </c>
    </row>
    <row r="850" s="93" customFormat="1" ht="20.1" customHeight="1" spans="1:16">
      <c r="A850" s="154" t="s">
        <v>588</v>
      </c>
      <c r="B850" s="261" t="s">
        <v>351</v>
      </c>
      <c r="C850" s="262">
        <f t="shared" ref="C850:I850" si="190">C851+C862+C864+C867+C869+C871</f>
        <v>3662</v>
      </c>
      <c r="D850" s="262">
        <f t="shared" si="188"/>
        <v>5427</v>
      </c>
      <c r="E850" s="262">
        <f t="shared" si="190"/>
        <v>903</v>
      </c>
      <c r="F850" s="262">
        <f t="shared" si="190"/>
        <v>0</v>
      </c>
      <c r="G850" s="262">
        <f t="shared" si="190"/>
        <v>2018</v>
      </c>
      <c r="H850" s="262">
        <f t="shared" si="190"/>
        <v>0</v>
      </c>
      <c r="I850" s="262">
        <f t="shared" si="190"/>
        <v>2506</v>
      </c>
      <c r="J850" s="279">
        <f t="shared" ref="J850:J862" si="191">ROUND(IF(C850=0,IF(D850=0,0,1),IF(D850=0,-1,D850/C850)),4)*100</f>
        <v>148.2</v>
      </c>
      <c r="K850" s="280" t="s">
        <v>1081</v>
      </c>
      <c r="L850" s="281"/>
      <c r="M850" s="154" t="s">
        <v>588</v>
      </c>
      <c r="N850" s="154" t="s">
        <v>588</v>
      </c>
      <c r="O850" s="154" t="s">
        <v>588</v>
      </c>
      <c r="P850" s="282" t="s">
        <v>2896</v>
      </c>
    </row>
    <row r="851" s="93" customFormat="1" ht="20.1" customHeight="1" spans="1:16">
      <c r="A851" s="263" t="s">
        <v>589</v>
      </c>
      <c r="B851" s="297" t="s">
        <v>2897</v>
      </c>
      <c r="C851" s="265">
        <f t="shared" ref="C851:I851" si="192">SUM(C852:C861)</f>
        <v>2381</v>
      </c>
      <c r="D851" s="265">
        <f t="shared" si="188"/>
        <v>2180</v>
      </c>
      <c r="E851" s="265">
        <f t="shared" si="192"/>
        <v>0</v>
      </c>
      <c r="F851" s="265">
        <f t="shared" si="192"/>
        <v>0</v>
      </c>
      <c r="G851" s="265">
        <f t="shared" si="192"/>
        <v>0</v>
      </c>
      <c r="H851" s="265">
        <f t="shared" si="192"/>
        <v>0</v>
      </c>
      <c r="I851" s="265">
        <f t="shared" si="192"/>
        <v>2180</v>
      </c>
      <c r="J851" s="298">
        <f t="shared" si="191"/>
        <v>91.56</v>
      </c>
      <c r="K851" s="284" t="s">
        <v>1082</v>
      </c>
      <c r="L851" s="285"/>
      <c r="M851" s="263" t="s">
        <v>589</v>
      </c>
      <c r="N851" s="263" t="s">
        <v>588</v>
      </c>
      <c r="O851" s="263" t="s">
        <v>589</v>
      </c>
      <c r="P851" s="286" t="s">
        <v>2898</v>
      </c>
    </row>
    <row r="852" s="92" customFormat="1" ht="20.1" customHeight="1" spans="1:16">
      <c r="A852" s="157" t="s">
        <v>2899</v>
      </c>
      <c r="B852" s="36" t="s">
        <v>1086</v>
      </c>
      <c r="C852" s="267">
        <v>383</v>
      </c>
      <c r="D852" s="268">
        <f t="shared" si="188"/>
        <v>346</v>
      </c>
      <c r="E852" s="267"/>
      <c r="F852" s="267"/>
      <c r="G852" s="267"/>
      <c r="H852" s="267"/>
      <c r="I852" s="287">
        <v>346</v>
      </c>
      <c r="J852" s="288">
        <f t="shared" si="191"/>
        <v>90.34</v>
      </c>
      <c r="K852" s="276" t="s">
        <v>1087</v>
      </c>
      <c r="L852" s="33">
        <v>1</v>
      </c>
      <c r="M852" s="157" t="s">
        <v>2899</v>
      </c>
      <c r="N852" s="157"/>
      <c r="O852" s="157" t="s">
        <v>589</v>
      </c>
      <c r="P852" s="164" t="s">
        <v>1088</v>
      </c>
    </row>
    <row r="853" s="92" customFormat="1" ht="20.1" customHeight="1" spans="1:16">
      <c r="A853" s="157" t="s">
        <v>2900</v>
      </c>
      <c r="B853" s="36" t="s">
        <v>1090</v>
      </c>
      <c r="C853" s="267"/>
      <c r="D853" s="268">
        <f t="shared" si="188"/>
        <v>0</v>
      </c>
      <c r="E853" s="267"/>
      <c r="F853" s="267"/>
      <c r="G853" s="267"/>
      <c r="H853" s="267"/>
      <c r="I853" s="287"/>
      <c r="J853" s="288">
        <f t="shared" si="191"/>
        <v>0</v>
      </c>
      <c r="K853" s="276" t="s">
        <v>1087</v>
      </c>
      <c r="L853" s="33">
        <v>1</v>
      </c>
      <c r="M853" s="157" t="s">
        <v>2900</v>
      </c>
      <c r="N853" s="157"/>
      <c r="O853" s="157" t="s">
        <v>589</v>
      </c>
      <c r="P853" s="164" t="s">
        <v>1091</v>
      </c>
    </row>
    <row r="854" s="92" customFormat="1" ht="20.1" customHeight="1" spans="1:16">
      <c r="A854" s="157" t="s">
        <v>2901</v>
      </c>
      <c r="B854" s="36" t="s">
        <v>1093</v>
      </c>
      <c r="C854" s="267"/>
      <c r="D854" s="268">
        <f t="shared" si="188"/>
        <v>0</v>
      </c>
      <c r="E854" s="267"/>
      <c r="F854" s="267"/>
      <c r="G854" s="267"/>
      <c r="H854" s="267"/>
      <c r="I854" s="287"/>
      <c r="J854" s="288">
        <f t="shared" si="191"/>
        <v>0</v>
      </c>
      <c r="K854" s="276" t="s">
        <v>1087</v>
      </c>
      <c r="L854" s="33">
        <v>1</v>
      </c>
      <c r="M854" s="157" t="s">
        <v>2901</v>
      </c>
      <c r="N854" s="157"/>
      <c r="O854" s="157" t="s">
        <v>589</v>
      </c>
      <c r="P854" s="164" t="s">
        <v>1094</v>
      </c>
    </row>
    <row r="855" s="92" customFormat="1" ht="20.1" customHeight="1" spans="1:16">
      <c r="A855" s="157" t="s">
        <v>2902</v>
      </c>
      <c r="B855" s="36" t="s">
        <v>2903</v>
      </c>
      <c r="C855" s="267">
        <v>604</v>
      </c>
      <c r="D855" s="268">
        <f t="shared" si="188"/>
        <v>645</v>
      </c>
      <c r="E855" s="267"/>
      <c r="F855" s="267"/>
      <c r="G855" s="267"/>
      <c r="H855" s="267"/>
      <c r="I855" s="287">
        <v>645</v>
      </c>
      <c r="J855" s="288">
        <f t="shared" si="191"/>
        <v>106.79</v>
      </c>
      <c r="K855" s="276" t="s">
        <v>1087</v>
      </c>
      <c r="L855" s="33">
        <v>1</v>
      </c>
      <c r="M855" s="157" t="s">
        <v>2902</v>
      </c>
      <c r="N855" s="157"/>
      <c r="O855" s="157" t="s">
        <v>589</v>
      </c>
      <c r="P855" s="163" t="s">
        <v>2904</v>
      </c>
    </row>
    <row r="856" s="92" customFormat="1" ht="20.1" customHeight="1" spans="1:16">
      <c r="A856" s="157" t="s">
        <v>2905</v>
      </c>
      <c r="B856" s="36" t="s">
        <v>2906</v>
      </c>
      <c r="C856" s="267"/>
      <c r="D856" s="268">
        <f t="shared" si="188"/>
        <v>0</v>
      </c>
      <c r="E856" s="267"/>
      <c r="F856" s="267"/>
      <c r="G856" s="267"/>
      <c r="H856" s="267"/>
      <c r="I856" s="287"/>
      <c r="J856" s="288">
        <f t="shared" si="191"/>
        <v>0</v>
      </c>
      <c r="K856" s="276" t="s">
        <v>1087</v>
      </c>
      <c r="L856" s="33">
        <v>1</v>
      </c>
      <c r="M856" s="157" t="s">
        <v>2905</v>
      </c>
      <c r="N856" s="157"/>
      <c r="O856" s="157" t="s">
        <v>589</v>
      </c>
      <c r="P856" s="163" t="s">
        <v>2907</v>
      </c>
    </row>
    <row r="857" s="92" customFormat="1" ht="20.1" customHeight="1" spans="1:16">
      <c r="A857" s="157" t="s">
        <v>2908</v>
      </c>
      <c r="B857" s="36" t="s">
        <v>2909</v>
      </c>
      <c r="C857" s="267"/>
      <c r="D857" s="268">
        <f t="shared" si="188"/>
        <v>0</v>
      </c>
      <c r="E857" s="267"/>
      <c r="F857" s="267"/>
      <c r="G857" s="267"/>
      <c r="H857" s="267"/>
      <c r="I857" s="287"/>
      <c r="J857" s="288">
        <f t="shared" si="191"/>
        <v>0</v>
      </c>
      <c r="K857" s="276" t="s">
        <v>1087</v>
      </c>
      <c r="L857" s="33">
        <v>1</v>
      </c>
      <c r="M857" s="157" t="s">
        <v>2908</v>
      </c>
      <c r="N857" s="157"/>
      <c r="O857" s="157" t="s">
        <v>589</v>
      </c>
      <c r="P857" s="163" t="s">
        <v>2910</v>
      </c>
    </row>
    <row r="858" s="92" customFormat="1" ht="20.1" customHeight="1" spans="1:16">
      <c r="A858" s="157" t="s">
        <v>2911</v>
      </c>
      <c r="B858" s="36" t="s">
        <v>2912</v>
      </c>
      <c r="C858" s="267"/>
      <c r="D858" s="268">
        <f t="shared" si="188"/>
        <v>0</v>
      </c>
      <c r="E858" s="267"/>
      <c r="F858" s="267"/>
      <c r="G858" s="267"/>
      <c r="H858" s="267"/>
      <c r="I858" s="287"/>
      <c r="J858" s="288">
        <f t="shared" si="191"/>
        <v>0</v>
      </c>
      <c r="K858" s="276" t="s">
        <v>1087</v>
      </c>
      <c r="L858" s="33">
        <v>1</v>
      </c>
      <c r="M858" s="157" t="s">
        <v>2911</v>
      </c>
      <c r="N858" s="157"/>
      <c r="O858" s="157" t="s">
        <v>589</v>
      </c>
      <c r="P858" s="163" t="s">
        <v>2913</v>
      </c>
    </row>
    <row r="859" s="92" customFormat="1" ht="20.1" customHeight="1" spans="1:16">
      <c r="A859" s="157" t="s">
        <v>2914</v>
      </c>
      <c r="B859" s="36" t="s">
        <v>2915</v>
      </c>
      <c r="C859" s="267"/>
      <c r="D859" s="268">
        <f t="shared" si="188"/>
        <v>0</v>
      </c>
      <c r="E859" s="267"/>
      <c r="F859" s="267"/>
      <c r="G859" s="267"/>
      <c r="H859" s="267"/>
      <c r="I859" s="287"/>
      <c r="J859" s="288">
        <f t="shared" si="191"/>
        <v>0</v>
      </c>
      <c r="K859" s="276" t="s">
        <v>1087</v>
      </c>
      <c r="L859" s="33">
        <v>1</v>
      </c>
      <c r="M859" s="157" t="s">
        <v>2914</v>
      </c>
      <c r="N859" s="157"/>
      <c r="O859" s="157" t="s">
        <v>589</v>
      </c>
      <c r="P859" s="163" t="s">
        <v>2916</v>
      </c>
    </row>
    <row r="860" s="92" customFormat="1" ht="20.1" customHeight="1" spans="1:16">
      <c r="A860" s="157" t="s">
        <v>2917</v>
      </c>
      <c r="B860" s="36" t="s">
        <v>2918</v>
      </c>
      <c r="C860" s="267"/>
      <c r="D860" s="268">
        <f t="shared" si="188"/>
        <v>0</v>
      </c>
      <c r="E860" s="267"/>
      <c r="F860" s="267"/>
      <c r="G860" s="267"/>
      <c r="H860" s="267"/>
      <c r="I860" s="287"/>
      <c r="J860" s="288">
        <f t="shared" si="191"/>
        <v>0</v>
      </c>
      <c r="K860" s="276" t="s">
        <v>1087</v>
      </c>
      <c r="L860" s="33">
        <v>1</v>
      </c>
      <c r="M860" s="157" t="s">
        <v>2917</v>
      </c>
      <c r="N860" s="157"/>
      <c r="O860" s="157" t="s">
        <v>589</v>
      </c>
      <c r="P860" s="163" t="s">
        <v>2919</v>
      </c>
    </row>
    <row r="861" s="92" customFormat="1" ht="20.1" customHeight="1" spans="1:16">
      <c r="A861" s="157" t="s">
        <v>2920</v>
      </c>
      <c r="B861" s="36" t="s">
        <v>2921</v>
      </c>
      <c r="C861" s="267">
        <v>1394</v>
      </c>
      <c r="D861" s="268">
        <f t="shared" si="188"/>
        <v>1189</v>
      </c>
      <c r="E861" s="267"/>
      <c r="F861" s="267"/>
      <c r="G861" s="267"/>
      <c r="H861" s="267"/>
      <c r="I861" s="287">
        <v>1189</v>
      </c>
      <c r="J861" s="288">
        <f t="shared" si="191"/>
        <v>85.29</v>
      </c>
      <c r="K861" s="276" t="s">
        <v>1087</v>
      </c>
      <c r="L861" s="33">
        <v>1</v>
      </c>
      <c r="M861" s="157" t="s">
        <v>2920</v>
      </c>
      <c r="N861" s="157"/>
      <c r="O861" s="157" t="s">
        <v>589</v>
      </c>
      <c r="P861" s="163" t="s">
        <v>2922</v>
      </c>
    </row>
    <row r="862" s="93" customFormat="1" ht="20.1" customHeight="1" spans="1:16">
      <c r="A862" s="263" t="s">
        <v>590</v>
      </c>
      <c r="B862" s="297" t="s">
        <v>2923</v>
      </c>
      <c r="C862" s="265">
        <f t="shared" ref="C862:I862" si="193">C863</f>
        <v>0</v>
      </c>
      <c r="D862" s="265">
        <f t="shared" si="188"/>
        <v>0</v>
      </c>
      <c r="E862" s="265">
        <f t="shared" si="193"/>
        <v>0</v>
      </c>
      <c r="F862" s="265">
        <f t="shared" si="193"/>
        <v>0</v>
      </c>
      <c r="G862" s="265">
        <f t="shared" si="193"/>
        <v>0</v>
      </c>
      <c r="H862" s="265">
        <f t="shared" si="193"/>
        <v>0</v>
      </c>
      <c r="I862" s="265">
        <f t="shared" si="193"/>
        <v>0</v>
      </c>
      <c r="J862" s="298">
        <f t="shared" si="191"/>
        <v>0</v>
      </c>
      <c r="K862" s="284" t="s">
        <v>1082</v>
      </c>
      <c r="L862" s="285"/>
      <c r="M862" s="263" t="s">
        <v>590</v>
      </c>
      <c r="N862" s="263" t="s">
        <v>588</v>
      </c>
      <c r="O862" s="263" t="s">
        <v>590</v>
      </c>
      <c r="P862" s="286" t="s">
        <v>2924</v>
      </c>
    </row>
    <row r="863" s="92" customFormat="1" ht="20.1" customHeight="1" spans="1:16">
      <c r="A863" s="157" t="s">
        <v>2925</v>
      </c>
      <c r="B863" s="269" t="s">
        <v>353</v>
      </c>
      <c r="C863" s="267"/>
      <c r="D863" s="267">
        <f t="shared" si="188"/>
        <v>0</v>
      </c>
      <c r="E863" s="267"/>
      <c r="F863" s="267"/>
      <c r="G863" s="267"/>
      <c r="H863" s="267"/>
      <c r="I863" s="267"/>
      <c r="J863" s="159"/>
      <c r="K863" s="276" t="s">
        <v>1087</v>
      </c>
      <c r="L863" s="33">
        <v>1</v>
      </c>
      <c r="M863" s="157" t="s">
        <v>2925</v>
      </c>
      <c r="N863" s="157"/>
      <c r="O863" s="157" t="s">
        <v>590</v>
      </c>
      <c r="P863" s="163" t="s">
        <v>2924</v>
      </c>
    </row>
    <row r="864" s="93" customFormat="1" ht="20.1" customHeight="1" spans="1:16">
      <c r="A864" s="263" t="s">
        <v>591</v>
      </c>
      <c r="B864" s="297" t="s">
        <v>2926</v>
      </c>
      <c r="C864" s="265">
        <f t="shared" ref="C864:I864" si="194">SUM(C865:C866)</f>
        <v>926</v>
      </c>
      <c r="D864" s="265">
        <f t="shared" si="188"/>
        <v>3011</v>
      </c>
      <c r="E864" s="265">
        <f t="shared" si="194"/>
        <v>903</v>
      </c>
      <c r="F864" s="265">
        <f t="shared" si="194"/>
        <v>0</v>
      </c>
      <c r="G864" s="265">
        <f t="shared" si="194"/>
        <v>2018</v>
      </c>
      <c r="H864" s="265">
        <f t="shared" si="194"/>
        <v>0</v>
      </c>
      <c r="I864" s="265">
        <f t="shared" si="194"/>
        <v>90</v>
      </c>
      <c r="J864" s="298">
        <f t="shared" ref="J864:J867" si="195">ROUND(IF(C864=0,IF(D864=0,0,1),IF(D864=0,-1,D864/C864)),4)*100</f>
        <v>325.16</v>
      </c>
      <c r="K864" s="284" t="s">
        <v>1082</v>
      </c>
      <c r="L864" s="285"/>
      <c r="M864" s="263" t="s">
        <v>591</v>
      </c>
      <c r="N864" s="263" t="s">
        <v>588</v>
      </c>
      <c r="O864" s="263" t="s">
        <v>591</v>
      </c>
      <c r="P864" s="286" t="s">
        <v>2927</v>
      </c>
    </row>
    <row r="865" s="92" customFormat="1" ht="20.1" customHeight="1" spans="1:16">
      <c r="A865" s="157" t="s">
        <v>2928</v>
      </c>
      <c r="B865" s="36" t="s">
        <v>2929</v>
      </c>
      <c r="C865" s="267"/>
      <c r="D865" s="268">
        <f t="shared" si="188"/>
        <v>699</v>
      </c>
      <c r="E865" s="267"/>
      <c r="F865" s="267"/>
      <c r="G865" s="267">
        <v>699</v>
      </c>
      <c r="H865" s="267"/>
      <c r="I865" s="287"/>
      <c r="J865" s="288">
        <f t="shared" si="195"/>
        <v>100</v>
      </c>
      <c r="K865" s="276" t="s">
        <v>1087</v>
      </c>
      <c r="L865" s="33">
        <v>1</v>
      </c>
      <c r="M865" s="157" t="s">
        <v>2928</v>
      </c>
      <c r="N865" s="157"/>
      <c r="O865" s="157" t="s">
        <v>591</v>
      </c>
      <c r="P865" s="163" t="s">
        <v>2930</v>
      </c>
    </row>
    <row r="866" s="92" customFormat="1" ht="20.1" customHeight="1" spans="1:16">
      <c r="A866" s="157" t="s">
        <v>2931</v>
      </c>
      <c r="B866" s="36" t="s">
        <v>2932</v>
      </c>
      <c r="C866" s="267">
        <v>926</v>
      </c>
      <c r="D866" s="268">
        <f t="shared" si="188"/>
        <v>2312</v>
      </c>
      <c r="E866" s="267">
        <v>903</v>
      </c>
      <c r="F866" s="267"/>
      <c r="G866" s="267">
        <v>1319</v>
      </c>
      <c r="H866" s="267"/>
      <c r="I866" s="287">
        <v>90</v>
      </c>
      <c r="J866" s="288">
        <f t="shared" si="195"/>
        <v>249.68</v>
      </c>
      <c r="K866" s="276" t="s">
        <v>1087</v>
      </c>
      <c r="L866" s="33">
        <v>1</v>
      </c>
      <c r="M866" s="157" t="s">
        <v>2931</v>
      </c>
      <c r="N866" s="157"/>
      <c r="O866" s="157" t="s">
        <v>591</v>
      </c>
      <c r="P866" s="163" t="s">
        <v>2933</v>
      </c>
    </row>
    <row r="867" s="93" customFormat="1" ht="20.1" customHeight="1" spans="1:16">
      <c r="A867" s="263" t="s">
        <v>592</v>
      </c>
      <c r="B867" s="297" t="s">
        <v>2934</v>
      </c>
      <c r="C867" s="265">
        <f t="shared" ref="C867:I867" si="196">SUM(C868)</f>
        <v>100</v>
      </c>
      <c r="D867" s="265">
        <f t="shared" si="188"/>
        <v>32</v>
      </c>
      <c r="E867" s="265">
        <f t="shared" si="196"/>
        <v>0</v>
      </c>
      <c r="F867" s="265">
        <f t="shared" si="196"/>
        <v>0</v>
      </c>
      <c r="G867" s="265">
        <f t="shared" si="196"/>
        <v>0</v>
      </c>
      <c r="H867" s="265">
        <f t="shared" si="196"/>
        <v>0</v>
      </c>
      <c r="I867" s="265">
        <f t="shared" si="196"/>
        <v>32</v>
      </c>
      <c r="J867" s="298">
        <f t="shared" si="195"/>
        <v>32</v>
      </c>
      <c r="K867" s="284" t="s">
        <v>1082</v>
      </c>
      <c r="L867" s="285"/>
      <c r="M867" s="263" t="s">
        <v>592</v>
      </c>
      <c r="N867" s="263" t="s">
        <v>588</v>
      </c>
      <c r="O867" s="263" t="s">
        <v>592</v>
      </c>
      <c r="P867" s="286" t="s">
        <v>2935</v>
      </c>
    </row>
    <row r="868" s="92" customFormat="1" ht="20.1" customHeight="1" spans="1:16">
      <c r="A868" s="157" t="s">
        <v>2936</v>
      </c>
      <c r="B868" s="36" t="s">
        <v>355</v>
      </c>
      <c r="C868" s="267">
        <v>100</v>
      </c>
      <c r="D868" s="268">
        <f t="shared" si="188"/>
        <v>32</v>
      </c>
      <c r="E868" s="267"/>
      <c r="F868" s="267"/>
      <c r="G868" s="267"/>
      <c r="H868" s="267"/>
      <c r="I868" s="287">
        <v>32</v>
      </c>
      <c r="J868" s="288"/>
      <c r="K868" s="276" t="s">
        <v>1087</v>
      </c>
      <c r="L868" s="33">
        <v>1</v>
      </c>
      <c r="M868" s="157" t="s">
        <v>2936</v>
      </c>
      <c r="N868" s="157"/>
      <c r="O868" s="157" t="s">
        <v>592</v>
      </c>
      <c r="P868" s="163" t="s">
        <v>2935</v>
      </c>
    </row>
    <row r="869" s="93" customFormat="1" ht="20.1" customHeight="1" spans="1:16">
      <c r="A869" s="263" t="s">
        <v>593</v>
      </c>
      <c r="B869" s="297" t="s">
        <v>2937</v>
      </c>
      <c r="C869" s="265">
        <f t="shared" ref="C869:I869" si="197">C870</f>
        <v>0</v>
      </c>
      <c r="D869" s="265">
        <f t="shared" si="188"/>
        <v>0</v>
      </c>
      <c r="E869" s="265">
        <f t="shared" si="197"/>
        <v>0</v>
      </c>
      <c r="F869" s="265">
        <f t="shared" si="197"/>
        <v>0</v>
      </c>
      <c r="G869" s="265">
        <f t="shared" si="197"/>
        <v>0</v>
      </c>
      <c r="H869" s="265">
        <f t="shared" si="197"/>
        <v>0</v>
      </c>
      <c r="I869" s="265">
        <f t="shared" si="197"/>
        <v>0</v>
      </c>
      <c r="J869" s="298">
        <f t="shared" ref="J869:J897" si="198">ROUND(IF(C869=0,IF(D869=0,0,1),IF(D869=0,-1,D869/C869)),4)*100</f>
        <v>0</v>
      </c>
      <c r="K869" s="284" t="s">
        <v>1082</v>
      </c>
      <c r="L869" s="285"/>
      <c r="M869" s="263" t="s">
        <v>593</v>
      </c>
      <c r="N869" s="263" t="s">
        <v>588</v>
      </c>
      <c r="O869" s="263" t="s">
        <v>593</v>
      </c>
      <c r="P869" s="286" t="s">
        <v>2938</v>
      </c>
    </row>
    <row r="870" s="92" customFormat="1" ht="20.1" customHeight="1" spans="1:16">
      <c r="A870" s="157" t="s">
        <v>2939</v>
      </c>
      <c r="B870" s="36" t="s">
        <v>356</v>
      </c>
      <c r="C870" s="267"/>
      <c r="D870" s="268">
        <f t="shared" si="188"/>
        <v>0</v>
      </c>
      <c r="E870" s="267"/>
      <c r="F870" s="267"/>
      <c r="G870" s="267"/>
      <c r="H870" s="267"/>
      <c r="I870" s="287"/>
      <c r="J870" s="288"/>
      <c r="K870" s="276" t="s">
        <v>1087</v>
      </c>
      <c r="L870" s="33">
        <v>1</v>
      </c>
      <c r="M870" s="157" t="s">
        <v>2939</v>
      </c>
      <c r="N870" s="157"/>
      <c r="O870" s="157" t="s">
        <v>593</v>
      </c>
      <c r="P870" s="163" t="s">
        <v>2938</v>
      </c>
    </row>
    <row r="871" s="93" customFormat="1" ht="20.1" customHeight="1" spans="1:16">
      <c r="A871" s="263" t="s">
        <v>594</v>
      </c>
      <c r="B871" s="297" t="s">
        <v>2940</v>
      </c>
      <c r="C871" s="265">
        <f t="shared" ref="C871:I871" si="199">SUM(C872)</f>
        <v>255</v>
      </c>
      <c r="D871" s="265">
        <f t="shared" si="188"/>
        <v>204</v>
      </c>
      <c r="E871" s="265">
        <f t="shared" si="199"/>
        <v>0</v>
      </c>
      <c r="F871" s="265">
        <f t="shared" si="199"/>
        <v>0</v>
      </c>
      <c r="G871" s="265">
        <f t="shared" si="199"/>
        <v>0</v>
      </c>
      <c r="H871" s="265">
        <f t="shared" si="199"/>
        <v>0</v>
      </c>
      <c r="I871" s="265">
        <f t="shared" si="199"/>
        <v>204</v>
      </c>
      <c r="J871" s="298">
        <f t="shared" si="198"/>
        <v>80</v>
      </c>
      <c r="K871" s="284" t="s">
        <v>1082</v>
      </c>
      <c r="L871" s="285"/>
      <c r="M871" s="263" t="s">
        <v>594</v>
      </c>
      <c r="N871" s="263" t="s">
        <v>588</v>
      </c>
      <c r="O871" s="263" t="s">
        <v>594</v>
      </c>
      <c r="P871" s="286" t="s">
        <v>2941</v>
      </c>
    </row>
    <row r="872" s="92" customFormat="1" ht="20.1" customHeight="1" spans="1:16">
      <c r="A872" s="157" t="s">
        <v>2942</v>
      </c>
      <c r="B872" s="36" t="s">
        <v>357</v>
      </c>
      <c r="C872" s="267">
        <v>255</v>
      </c>
      <c r="D872" s="268">
        <f t="shared" si="188"/>
        <v>204</v>
      </c>
      <c r="E872" s="267"/>
      <c r="F872" s="267"/>
      <c r="G872" s="267"/>
      <c r="H872" s="267"/>
      <c r="I872" s="287">
        <v>204</v>
      </c>
      <c r="J872" s="288"/>
      <c r="K872" s="276" t="s">
        <v>1087</v>
      </c>
      <c r="L872" s="33">
        <v>1</v>
      </c>
      <c r="M872" s="157" t="s">
        <v>2942</v>
      </c>
      <c r="N872" s="157"/>
      <c r="O872" s="157" t="s">
        <v>594</v>
      </c>
      <c r="P872" s="163" t="s">
        <v>2941</v>
      </c>
    </row>
    <row r="873" s="93" customFormat="1" ht="20.1" customHeight="1" spans="1:16">
      <c r="A873" s="154" t="s">
        <v>595</v>
      </c>
      <c r="B873" s="261" t="s">
        <v>358</v>
      </c>
      <c r="C873" s="262">
        <f t="shared" ref="C873:I873" si="200">C874+C900+C923+C951+C962+C968+C974+C977</f>
        <v>110919</v>
      </c>
      <c r="D873" s="262">
        <f t="shared" si="188"/>
        <v>109607</v>
      </c>
      <c r="E873" s="262">
        <f t="shared" si="200"/>
        <v>40800</v>
      </c>
      <c r="F873" s="262">
        <f t="shared" si="200"/>
        <v>1120</v>
      </c>
      <c r="G873" s="262">
        <f t="shared" si="200"/>
        <v>51161</v>
      </c>
      <c r="H873" s="262">
        <f t="shared" si="200"/>
        <v>907</v>
      </c>
      <c r="I873" s="262">
        <f t="shared" si="200"/>
        <v>15619</v>
      </c>
      <c r="J873" s="279">
        <f t="shared" si="198"/>
        <v>98.82</v>
      </c>
      <c r="K873" s="280" t="s">
        <v>1081</v>
      </c>
      <c r="L873" s="281"/>
      <c r="M873" s="154" t="s">
        <v>595</v>
      </c>
      <c r="N873" s="154" t="s">
        <v>595</v>
      </c>
      <c r="O873" s="154" t="s">
        <v>595</v>
      </c>
      <c r="P873" s="282" t="s">
        <v>2943</v>
      </c>
    </row>
    <row r="874" s="93" customFormat="1" ht="20.1" customHeight="1" spans="1:16">
      <c r="A874" s="263" t="s">
        <v>596</v>
      </c>
      <c r="B874" s="297" t="s">
        <v>2944</v>
      </c>
      <c r="C874" s="265">
        <f t="shared" ref="C874:I874" si="201">SUM(C875:C899)</f>
        <v>9919</v>
      </c>
      <c r="D874" s="265">
        <f t="shared" si="188"/>
        <v>16907</v>
      </c>
      <c r="E874" s="265">
        <f t="shared" si="201"/>
        <v>2797</v>
      </c>
      <c r="F874" s="265">
        <f t="shared" si="201"/>
        <v>303</v>
      </c>
      <c r="G874" s="265">
        <f t="shared" si="201"/>
        <v>9768</v>
      </c>
      <c r="H874" s="265">
        <f t="shared" si="201"/>
        <v>0</v>
      </c>
      <c r="I874" s="265">
        <f t="shared" si="201"/>
        <v>4039</v>
      </c>
      <c r="J874" s="298">
        <f t="shared" si="198"/>
        <v>170.45</v>
      </c>
      <c r="K874" s="284" t="s">
        <v>1082</v>
      </c>
      <c r="L874" s="285"/>
      <c r="M874" s="263" t="s">
        <v>596</v>
      </c>
      <c r="N874" s="263" t="s">
        <v>595</v>
      </c>
      <c r="O874" s="263" t="s">
        <v>596</v>
      </c>
      <c r="P874" s="286" t="s">
        <v>2945</v>
      </c>
    </row>
    <row r="875" s="92" customFormat="1" ht="20.1" customHeight="1" spans="1:16">
      <c r="A875" s="157" t="s">
        <v>2946</v>
      </c>
      <c r="B875" s="36" t="s">
        <v>1086</v>
      </c>
      <c r="C875" s="267">
        <v>368</v>
      </c>
      <c r="D875" s="268">
        <f t="shared" si="188"/>
        <v>419</v>
      </c>
      <c r="E875" s="267"/>
      <c r="F875" s="267"/>
      <c r="G875" s="267"/>
      <c r="H875" s="267"/>
      <c r="I875" s="287">
        <v>419</v>
      </c>
      <c r="J875" s="288">
        <f t="shared" si="198"/>
        <v>113.86</v>
      </c>
      <c r="K875" s="276" t="s">
        <v>1087</v>
      </c>
      <c r="L875" s="33">
        <v>1</v>
      </c>
      <c r="M875" s="157" t="s">
        <v>2946</v>
      </c>
      <c r="N875" s="157"/>
      <c r="O875" s="157" t="s">
        <v>596</v>
      </c>
      <c r="P875" s="164" t="s">
        <v>1088</v>
      </c>
    </row>
    <row r="876" s="92" customFormat="1" ht="20.1" customHeight="1" spans="1:16">
      <c r="A876" s="157" t="s">
        <v>2947</v>
      </c>
      <c r="B876" s="36" t="s">
        <v>1090</v>
      </c>
      <c r="C876" s="267">
        <v>368</v>
      </c>
      <c r="D876" s="268">
        <f t="shared" si="188"/>
        <v>367</v>
      </c>
      <c r="E876" s="267"/>
      <c r="F876" s="267"/>
      <c r="G876" s="267"/>
      <c r="H876" s="267"/>
      <c r="I876" s="287">
        <v>367</v>
      </c>
      <c r="J876" s="288">
        <f t="shared" si="198"/>
        <v>99.73</v>
      </c>
      <c r="K876" s="276" t="s">
        <v>1087</v>
      </c>
      <c r="L876" s="33">
        <v>1</v>
      </c>
      <c r="M876" s="157" t="s">
        <v>2947</v>
      </c>
      <c r="N876" s="157"/>
      <c r="O876" s="157" t="s">
        <v>596</v>
      </c>
      <c r="P876" s="164" t="s">
        <v>1091</v>
      </c>
    </row>
    <row r="877" s="92" customFormat="1" ht="20.1" customHeight="1" spans="1:16">
      <c r="A877" s="157" t="s">
        <v>2948</v>
      </c>
      <c r="B877" s="36" t="s">
        <v>1093</v>
      </c>
      <c r="C877" s="267"/>
      <c r="D877" s="268">
        <f t="shared" si="188"/>
        <v>0</v>
      </c>
      <c r="E877" s="267"/>
      <c r="F877" s="267"/>
      <c r="G877" s="267"/>
      <c r="H877" s="267"/>
      <c r="I877" s="287"/>
      <c r="J877" s="288">
        <f t="shared" si="198"/>
        <v>0</v>
      </c>
      <c r="K877" s="276" t="s">
        <v>1087</v>
      </c>
      <c r="L877" s="33">
        <v>1</v>
      </c>
      <c r="M877" s="157" t="s">
        <v>2948</v>
      </c>
      <c r="N877" s="157"/>
      <c r="O877" s="157" t="s">
        <v>596</v>
      </c>
      <c r="P877" s="164" t="s">
        <v>1094</v>
      </c>
    </row>
    <row r="878" s="92" customFormat="1" ht="20.1" customHeight="1" spans="1:16">
      <c r="A878" s="157" t="s">
        <v>2949</v>
      </c>
      <c r="B878" s="36" t="s">
        <v>1114</v>
      </c>
      <c r="C878" s="267">
        <v>2057</v>
      </c>
      <c r="D878" s="268">
        <f t="shared" si="188"/>
        <v>2899</v>
      </c>
      <c r="E878" s="267"/>
      <c r="F878" s="267"/>
      <c r="G878" s="267"/>
      <c r="H878" s="267"/>
      <c r="I878" s="287">
        <v>2899</v>
      </c>
      <c r="J878" s="288">
        <f t="shared" si="198"/>
        <v>140.93</v>
      </c>
      <c r="K878" s="276" t="s">
        <v>1087</v>
      </c>
      <c r="L878" s="33">
        <v>1</v>
      </c>
      <c r="M878" s="157" t="s">
        <v>2949</v>
      </c>
      <c r="N878" s="157"/>
      <c r="O878" s="157" t="s">
        <v>596</v>
      </c>
      <c r="P878" s="164" t="s">
        <v>1115</v>
      </c>
    </row>
    <row r="879" s="92" customFormat="1" ht="20.1" customHeight="1" spans="1:16">
      <c r="A879" s="157" t="s">
        <v>2950</v>
      </c>
      <c r="B879" s="36" t="s">
        <v>2951</v>
      </c>
      <c r="C879" s="267"/>
      <c r="D879" s="268">
        <f t="shared" si="188"/>
        <v>0</v>
      </c>
      <c r="E879" s="267"/>
      <c r="F879" s="267"/>
      <c r="G879" s="267"/>
      <c r="H879" s="267"/>
      <c r="I879" s="287"/>
      <c r="J879" s="288">
        <f t="shared" si="198"/>
        <v>0</v>
      </c>
      <c r="K879" s="276" t="s">
        <v>1087</v>
      </c>
      <c r="L879" s="33">
        <v>1</v>
      </c>
      <c r="M879" s="157" t="s">
        <v>2950</v>
      </c>
      <c r="N879" s="157"/>
      <c r="O879" s="157" t="s">
        <v>596</v>
      </c>
      <c r="P879" s="163" t="s">
        <v>2952</v>
      </c>
    </row>
    <row r="880" s="92" customFormat="1" ht="20.1" customHeight="1" spans="1:16">
      <c r="A880" s="157" t="s">
        <v>2953</v>
      </c>
      <c r="B880" s="36" t="s">
        <v>2954</v>
      </c>
      <c r="C880" s="267">
        <v>153</v>
      </c>
      <c r="D880" s="268">
        <f t="shared" si="188"/>
        <v>513</v>
      </c>
      <c r="E880" s="267">
        <v>309</v>
      </c>
      <c r="F880" s="267"/>
      <c r="G880" s="267">
        <v>204</v>
      </c>
      <c r="H880" s="267"/>
      <c r="I880" s="287"/>
      <c r="J880" s="288">
        <f t="shared" si="198"/>
        <v>335.29</v>
      </c>
      <c r="K880" s="276" t="s">
        <v>1087</v>
      </c>
      <c r="L880" s="33">
        <v>1</v>
      </c>
      <c r="M880" s="157" t="s">
        <v>2953</v>
      </c>
      <c r="N880" s="157"/>
      <c r="O880" s="157" t="s">
        <v>596</v>
      </c>
      <c r="P880" s="163" t="s">
        <v>2955</v>
      </c>
    </row>
    <row r="881" s="92" customFormat="1" ht="20.1" customHeight="1" spans="1:16">
      <c r="A881" s="157" t="s">
        <v>2956</v>
      </c>
      <c r="B881" s="36" t="s">
        <v>2957</v>
      </c>
      <c r="C881" s="267">
        <v>106</v>
      </c>
      <c r="D881" s="268">
        <f t="shared" si="188"/>
        <v>243</v>
      </c>
      <c r="E881" s="267">
        <v>34</v>
      </c>
      <c r="F881" s="267">
        <v>42</v>
      </c>
      <c r="G881" s="267">
        <v>166</v>
      </c>
      <c r="H881" s="267"/>
      <c r="I881" s="287">
        <v>1</v>
      </c>
      <c r="J881" s="288">
        <f t="shared" si="198"/>
        <v>229.25</v>
      </c>
      <c r="K881" s="276" t="s">
        <v>1087</v>
      </c>
      <c r="L881" s="33">
        <v>1</v>
      </c>
      <c r="M881" s="157" t="s">
        <v>2956</v>
      </c>
      <c r="N881" s="157"/>
      <c r="O881" s="157" t="s">
        <v>596</v>
      </c>
      <c r="P881" s="163" t="s">
        <v>2958</v>
      </c>
    </row>
    <row r="882" s="92" customFormat="1" ht="20.1" customHeight="1" spans="1:16">
      <c r="A882" s="157" t="s">
        <v>2959</v>
      </c>
      <c r="B882" s="36" t="s">
        <v>2960</v>
      </c>
      <c r="C882" s="267">
        <v>18</v>
      </c>
      <c r="D882" s="268">
        <f t="shared" si="188"/>
        <v>75</v>
      </c>
      <c r="E882" s="267"/>
      <c r="F882" s="267">
        <v>15</v>
      </c>
      <c r="G882" s="267">
        <v>60</v>
      </c>
      <c r="H882" s="267"/>
      <c r="I882" s="287"/>
      <c r="J882" s="288">
        <f t="shared" si="198"/>
        <v>416.67</v>
      </c>
      <c r="K882" s="276" t="s">
        <v>1087</v>
      </c>
      <c r="L882" s="33">
        <v>1</v>
      </c>
      <c r="M882" s="157" t="s">
        <v>2959</v>
      </c>
      <c r="N882" s="157"/>
      <c r="O882" s="157" t="s">
        <v>596</v>
      </c>
      <c r="P882" s="163" t="s">
        <v>2961</v>
      </c>
    </row>
    <row r="883" s="92" customFormat="1" ht="20.1" customHeight="1" spans="1:16">
      <c r="A883" s="157" t="s">
        <v>2962</v>
      </c>
      <c r="B883" s="36" t="s">
        <v>2963</v>
      </c>
      <c r="C883" s="267"/>
      <c r="D883" s="268">
        <f t="shared" si="188"/>
        <v>0</v>
      </c>
      <c r="E883" s="267"/>
      <c r="F883" s="267"/>
      <c r="G883" s="267"/>
      <c r="H883" s="267"/>
      <c r="I883" s="287"/>
      <c r="J883" s="288">
        <f t="shared" si="198"/>
        <v>0</v>
      </c>
      <c r="K883" s="276" t="s">
        <v>1087</v>
      </c>
      <c r="L883" s="33">
        <v>1</v>
      </c>
      <c r="M883" s="157" t="s">
        <v>2962</v>
      </c>
      <c r="N883" s="157"/>
      <c r="O883" s="157" t="s">
        <v>596</v>
      </c>
      <c r="P883" s="163" t="s">
        <v>2964</v>
      </c>
    </row>
    <row r="884" s="92" customFormat="1" ht="20.1" customHeight="1" spans="1:16">
      <c r="A884" s="157" t="s">
        <v>2965</v>
      </c>
      <c r="B884" s="36" t="s">
        <v>2966</v>
      </c>
      <c r="C884" s="267"/>
      <c r="D884" s="268">
        <f t="shared" si="188"/>
        <v>5</v>
      </c>
      <c r="E884" s="267"/>
      <c r="F884" s="267">
        <v>1</v>
      </c>
      <c r="G884" s="267">
        <v>4</v>
      </c>
      <c r="H884" s="267"/>
      <c r="I884" s="287"/>
      <c r="J884" s="288">
        <f t="shared" si="198"/>
        <v>100</v>
      </c>
      <c r="K884" s="276" t="s">
        <v>1087</v>
      </c>
      <c r="L884" s="33">
        <v>1</v>
      </c>
      <c r="M884" s="157" t="s">
        <v>2965</v>
      </c>
      <c r="N884" s="157"/>
      <c r="O884" s="157" t="s">
        <v>596</v>
      </c>
      <c r="P884" s="163" t="s">
        <v>2967</v>
      </c>
    </row>
    <row r="885" s="92" customFormat="1" ht="20.1" customHeight="1" spans="1:16">
      <c r="A885" s="157" t="s">
        <v>2968</v>
      </c>
      <c r="B885" s="36" t="s">
        <v>2969</v>
      </c>
      <c r="C885" s="267"/>
      <c r="D885" s="268">
        <f t="shared" si="188"/>
        <v>0</v>
      </c>
      <c r="E885" s="267"/>
      <c r="F885" s="267"/>
      <c r="G885" s="267"/>
      <c r="H885" s="267"/>
      <c r="I885" s="287"/>
      <c r="J885" s="288">
        <f t="shared" si="198"/>
        <v>0</v>
      </c>
      <c r="K885" s="276" t="s">
        <v>1087</v>
      </c>
      <c r="L885" s="33">
        <v>1</v>
      </c>
      <c r="M885" s="157" t="s">
        <v>2968</v>
      </c>
      <c r="N885" s="157"/>
      <c r="O885" s="157" t="s">
        <v>596</v>
      </c>
      <c r="P885" s="163" t="s">
        <v>2970</v>
      </c>
    </row>
    <row r="886" s="92" customFormat="1" ht="20.1" customHeight="1" spans="1:16">
      <c r="A886" s="157" t="s">
        <v>2971</v>
      </c>
      <c r="B886" s="36" t="s">
        <v>2972</v>
      </c>
      <c r="C886" s="267"/>
      <c r="D886" s="268">
        <f t="shared" si="188"/>
        <v>100</v>
      </c>
      <c r="E886" s="267"/>
      <c r="F886" s="267"/>
      <c r="G886" s="267">
        <v>100</v>
      </c>
      <c r="H886" s="267"/>
      <c r="I886" s="287"/>
      <c r="J886" s="288">
        <f t="shared" si="198"/>
        <v>100</v>
      </c>
      <c r="K886" s="276" t="s">
        <v>1087</v>
      </c>
      <c r="L886" s="33">
        <v>1</v>
      </c>
      <c r="M886" s="157" t="s">
        <v>2971</v>
      </c>
      <c r="N886" s="157"/>
      <c r="O886" s="157" t="s">
        <v>596</v>
      </c>
      <c r="P886" s="163" t="s">
        <v>2973</v>
      </c>
    </row>
    <row r="887" s="92" customFormat="1" ht="20.1" customHeight="1" spans="1:16">
      <c r="A887" s="157" t="s">
        <v>2974</v>
      </c>
      <c r="B887" s="36" t="s">
        <v>2975</v>
      </c>
      <c r="C887" s="267"/>
      <c r="D887" s="268">
        <f t="shared" si="188"/>
        <v>30</v>
      </c>
      <c r="E887" s="267"/>
      <c r="F887" s="267"/>
      <c r="G887" s="267">
        <v>30</v>
      </c>
      <c r="H887" s="267"/>
      <c r="I887" s="287"/>
      <c r="J887" s="288">
        <f t="shared" si="198"/>
        <v>100</v>
      </c>
      <c r="K887" s="276" t="s">
        <v>1087</v>
      </c>
      <c r="L887" s="33">
        <v>1</v>
      </c>
      <c r="M887" s="157" t="s">
        <v>2974</v>
      </c>
      <c r="N887" s="157"/>
      <c r="O887" s="157" t="s">
        <v>596</v>
      </c>
      <c r="P887" s="163" t="s">
        <v>2976</v>
      </c>
    </row>
    <row r="888" s="92" customFormat="1" ht="20.1" customHeight="1" spans="1:16">
      <c r="A888" s="157" t="s">
        <v>2977</v>
      </c>
      <c r="B888" s="36" t="s">
        <v>2978</v>
      </c>
      <c r="C888" s="267">
        <v>2</v>
      </c>
      <c r="D888" s="268">
        <f t="shared" si="188"/>
        <v>1395</v>
      </c>
      <c r="E888" s="267">
        <v>1395</v>
      </c>
      <c r="F888" s="267"/>
      <c r="G888" s="267"/>
      <c r="H888" s="267"/>
      <c r="I888" s="287"/>
      <c r="J888" s="288">
        <f t="shared" si="198"/>
        <v>69750</v>
      </c>
      <c r="K888" s="276" t="s">
        <v>1087</v>
      </c>
      <c r="L888" s="33">
        <v>1</v>
      </c>
      <c r="M888" s="157" t="s">
        <v>2977</v>
      </c>
      <c r="N888" s="157"/>
      <c r="O888" s="157" t="s">
        <v>596</v>
      </c>
      <c r="P888" s="163" t="s">
        <v>2979</v>
      </c>
    </row>
    <row r="889" s="92" customFormat="1" ht="20.1" customHeight="1" spans="1:16">
      <c r="A889" s="157" t="s">
        <v>2980</v>
      </c>
      <c r="B889" s="36" t="s">
        <v>2981</v>
      </c>
      <c r="C889" s="267">
        <v>17</v>
      </c>
      <c r="D889" s="268">
        <f t="shared" si="188"/>
        <v>0</v>
      </c>
      <c r="E889" s="267"/>
      <c r="F889" s="267"/>
      <c r="G889" s="267"/>
      <c r="H889" s="267"/>
      <c r="I889" s="287"/>
      <c r="J889" s="288">
        <f t="shared" si="198"/>
        <v>-100</v>
      </c>
      <c r="K889" s="276" t="s">
        <v>1087</v>
      </c>
      <c r="L889" s="33">
        <v>1</v>
      </c>
      <c r="M889" s="157" t="s">
        <v>2980</v>
      </c>
      <c r="N889" s="157"/>
      <c r="O889" s="157" t="s">
        <v>596</v>
      </c>
      <c r="P889" s="163" t="s">
        <v>2982</v>
      </c>
    </row>
    <row r="890" s="92" customFormat="1" ht="20.1" customHeight="1" spans="1:16">
      <c r="A890" s="157" t="s">
        <v>2983</v>
      </c>
      <c r="B890" s="36" t="s">
        <v>2984</v>
      </c>
      <c r="C890" s="267">
        <v>1977</v>
      </c>
      <c r="D890" s="268">
        <f t="shared" si="188"/>
        <v>1472</v>
      </c>
      <c r="E890" s="267">
        <v>10</v>
      </c>
      <c r="F890" s="267">
        <v>100</v>
      </c>
      <c r="G890" s="267">
        <v>1338</v>
      </c>
      <c r="H890" s="267"/>
      <c r="I890" s="287">
        <v>24</v>
      </c>
      <c r="J890" s="288">
        <f t="shared" si="198"/>
        <v>74.46</v>
      </c>
      <c r="K890" s="276" t="s">
        <v>1087</v>
      </c>
      <c r="L890" s="33">
        <v>1</v>
      </c>
      <c r="M890" s="157" t="s">
        <v>2983</v>
      </c>
      <c r="N890" s="157"/>
      <c r="O890" s="157" t="s">
        <v>596</v>
      </c>
      <c r="P890" s="36" t="s">
        <v>2985</v>
      </c>
    </row>
    <row r="891" s="92" customFormat="1" ht="20.1" customHeight="1" spans="1:16">
      <c r="A891" s="157" t="s">
        <v>2986</v>
      </c>
      <c r="B891" s="36" t="s">
        <v>2987</v>
      </c>
      <c r="C891" s="267">
        <v>6</v>
      </c>
      <c r="D891" s="268">
        <f t="shared" si="188"/>
        <v>115</v>
      </c>
      <c r="E891" s="267"/>
      <c r="F891" s="267">
        <v>101</v>
      </c>
      <c r="G891" s="267">
        <v>14</v>
      </c>
      <c r="H891" s="267"/>
      <c r="I891" s="287"/>
      <c r="J891" s="288">
        <f t="shared" si="198"/>
        <v>1916.67</v>
      </c>
      <c r="K891" s="276" t="s">
        <v>1087</v>
      </c>
      <c r="L891" s="33">
        <v>1</v>
      </c>
      <c r="M891" s="157" t="s">
        <v>2986</v>
      </c>
      <c r="N891" s="157"/>
      <c r="O891" s="157" t="s">
        <v>596</v>
      </c>
      <c r="P891" s="36" t="s">
        <v>2988</v>
      </c>
    </row>
    <row r="892" s="92" customFormat="1" ht="20.1" customHeight="1" spans="1:16">
      <c r="A892" s="157" t="s">
        <v>2989</v>
      </c>
      <c r="B892" s="36" t="s">
        <v>2990</v>
      </c>
      <c r="C892" s="267"/>
      <c r="D892" s="268">
        <f t="shared" si="188"/>
        <v>167</v>
      </c>
      <c r="E892" s="267"/>
      <c r="F892" s="267"/>
      <c r="G892" s="267">
        <v>167</v>
      </c>
      <c r="H892" s="267"/>
      <c r="I892" s="287"/>
      <c r="J892" s="288">
        <f t="shared" si="198"/>
        <v>100</v>
      </c>
      <c r="K892" s="276" t="s">
        <v>1087</v>
      </c>
      <c r="L892" s="33">
        <v>1</v>
      </c>
      <c r="M892" s="157" t="s">
        <v>2989</v>
      </c>
      <c r="N892" s="157"/>
      <c r="O892" s="157" t="s">
        <v>596</v>
      </c>
      <c r="P892" s="163" t="s">
        <v>2991</v>
      </c>
    </row>
    <row r="893" s="92" customFormat="1" ht="20.1" customHeight="1" spans="1:16">
      <c r="A893" s="157" t="s">
        <v>2992</v>
      </c>
      <c r="B893" s="36" t="s">
        <v>2993</v>
      </c>
      <c r="C893" s="267">
        <v>231</v>
      </c>
      <c r="D893" s="268">
        <f t="shared" si="188"/>
        <v>309</v>
      </c>
      <c r="E893" s="267"/>
      <c r="F893" s="267">
        <v>4</v>
      </c>
      <c r="G893" s="267"/>
      <c r="H893" s="267"/>
      <c r="I893" s="287">
        <v>305</v>
      </c>
      <c r="J893" s="288">
        <f t="shared" si="198"/>
        <v>133.77</v>
      </c>
      <c r="K893" s="276" t="s">
        <v>1087</v>
      </c>
      <c r="L893" s="33">
        <v>1</v>
      </c>
      <c r="M893" s="157" t="s">
        <v>2992</v>
      </c>
      <c r="N893" s="157"/>
      <c r="O893" s="157" t="s">
        <v>596</v>
      </c>
      <c r="P893" s="163" t="s">
        <v>2994</v>
      </c>
    </row>
    <row r="894" s="92" customFormat="1" ht="20.1" customHeight="1" spans="1:16">
      <c r="A894" s="157" t="s">
        <v>2995</v>
      </c>
      <c r="B894" s="36" t="s">
        <v>2996</v>
      </c>
      <c r="C894" s="267">
        <v>23</v>
      </c>
      <c r="D894" s="268">
        <f t="shared" si="188"/>
        <v>83</v>
      </c>
      <c r="E894" s="267"/>
      <c r="F894" s="267">
        <v>40</v>
      </c>
      <c r="G894" s="267">
        <v>43</v>
      </c>
      <c r="H894" s="267"/>
      <c r="I894" s="287"/>
      <c r="J894" s="288">
        <f t="shared" si="198"/>
        <v>360.87</v>
      </c>
      <c r="K894" s="276" t="s">
        <v>1087</v>
      </c>
      <c r="L894" s="33">
        <v>1</v>
      </c>
      <c r="M894" s="157" t="s">
        <v>2995</v>
      </c>
      <c r="N894" s="157"/>
      <c r="O894" s="157" t="s">
        <v>596</v>
      </c>
      <c r="P894" s="36" t="s">
        <v>2997</v>
      </c>
    </row>
    <row r="895" s="92" customFormat="1" ht="20.1" customHeight="1" spans="1:16">
      <c r="A895" s="157" t="s">
        <v>2998</v>
      </c>
      <c r="B895" s="36" t="s">
        <v>2999</v>
      </c>
      <c r="C895" s="267"/>
      <c r="D895" s="268">
        <f t="shared" si="188"/>
        <v>0</v>
      </c>
      <c r="E895" s="267"/>
      <c r="F895" s="267"/>
      <c r="G895" s="267"/>
      <c r="H895" s="267"/>
      <c r="I895" s="287"/>
      <c r="J895" s="288">
        <f t="shared" si="198"/>
        <v>0</v>
      </c>
      <c r="K895" s="276" t="s">
        <v>1087</v>
      </c>
      <c r="L895" s="33">
        <v>1</v>
      </c>
      <c r="M895" s="157" t="s">
        <v>2998</v>
      </c>
      <c r="N895" s="157"/>
      <c r="O895" s="157" t="s">
        <v>596</v>
      </c>
      <c r="P895" s="163" t="s">
        <v>3000</v>
      </c>
    </row>
    <row r="896" s="92" customFormat="1" ht="20.1" customHeight="1" spans="1:16">
      <c r="A896" s="157" t="s">
        <v>3001</v>
      </c>
      <c r="B896" s="36" t="s">
        <v>3002</v>
      </c>
      <c r="C896" s="267">
        <v>15</v>
      </c>
      <c r="D896" s="268">
        <f t="shared" si="188"/>
        <v>25</v>
      </c>
      <c r="E896" s="267">
        <v>25</v>
      </c>
      <c r="F896" s="267"/>
      <c r="G896" s="267"/>
      <c r="H896" s="267"/>
      <c r="I896" s="287"/>
      <c r="J896" s="288">
        <f t="shared" si="198"/>
        <v>166.67</v>
      </c>
      <c r="K896" s="276" t="s">
        <v>1087</v>
      </c>
      <c r="L896" s="33">
        <v>1</v>
      </c>
      <c r="M896" s="157" t="s">
        <v>3001</v>
      </c>
      <c r="N896" s="157"/>
      <c r="O896" s="157" t="s">
        <v>596</v>
      </c>
      <c r="P896" s="36" t="s">
        <v>3003</v>
      </c>
    </row>
    <row r="897" s="92" customFormat="1" ht="20.1" customHeight="1" spans="1:16">
      <c r="A897" s="157" t="s">
        <v>3004</v>
      </c>
      <c r="B897" s="36" t="s">
        <v>3005</v>
      </c>
      <c r="C897" s="267"/>
      <c r="D897" s="268">
        <f t="shared" si="188"/>
        <v>0</v>
      </c>
      <c r="E897" s="267"/>
      <c r="F897" s="267"/>
      <c r="G897" s="267"/>
      <c r="H897" s="267"/>
      <c r="I897" s="287"/>
      <c r="J897" s="288">
        <f t="shared" si="198"/>
        <v>0</v>
      </c>
      <c r="K897" s="276" t="s">
        <v>1087</v>
      </c>
      <c r="L897" s="33">
        <v>1</v>
      </c>
      <c r="M897" s="157" t="s">
        <v>3004</v>
      </c>
      <c r="N897" s="157"/>
      <c r="O897" s="157" t="s">
        <v>596</v>
      </c>
      <c r="P897" s="163" t="s">
        <v>3006</v>
      </c>
    </row>
    <row r="898" s="92" customFormat="1" ht="20.1" customHeight="1" spans="1:16">
      <c r="A898" s="183" t="s">
        <v>3007</v>
      </c>
      <c r="B898" s="609" t="s">
        <v>3008</v>
      </c>
      <c r="C898" s="267">
        <v>3383</v>
      </c>
      <c r="D898" s="268">
        <f t="shared" si="188"/>
        <v>1136</v>
      </c>
      <c r="E898" s="267">
        <v>900</v>
      </c>
      <c r="F898" s="267"/>
      <c r="G898" s="267">
        <v>236</v>
      </c>
      <c r="H898" s="267"/>
      <c r="I898" s="287"/>
      <c r="J898" s="288"/>
      <c r="K898" s="276" t="s">
        <v>1087</v>
      </c>
      <c r="L898" s="33">
        <v>1</v>
      </c>
      <c r="M898" s="157" t="s">
        <v>3007</v>
      </c>
      <c r="N898" s="157"/>
      <c r="O898" s="157" t="s">
        <v>596</v>
      </c>
      <c r="P898" s="305" t="s">
        <v>3009</v>
      </c>
    </row>
    <row r="899" s="92" customFormat="1" ht="20.1" customHeight="1" spans="1:16">
      <c r="A899" s="157" t="s">
        <v>3010</v>
      </c>
      <c r="B899" s="36" t="s">
        <v>3011</v>
      </c>
      <c r="C899" s="267">
        <v>1195</v>
      </c>
      <c r="D899" s="268">
        <f t="shared" si="188"/>
        <v>7554</v>
      </c>
      <c r="E899" s="267">
        <v>124</v>
      </c>
      <c r="F899" s="267"/>
      <c r="G899" s="267">
        <v>7406</v>
      </c>
      <c r="H899" s="267"/>
      <c r="I899" s="287">
        <v>24</v>
      </c>
      <c r="J899" s="288">
        <f t="shared" ref="J899:J920" si="202">ROUND(IF(C899=0,IF(D899=0,0,1),IF(D899=0,-1,D899/C899)),4)*100</f>
        <v>632.13</v>
      </c>
      <c r="K899" s="276" t="s">
        <v>1087</v>
      </c>
      <c r="L899" s="33">
        <v>1</v>
      </c>
      <c r="M899" s="157" t="s">
        <v>3010</v>
      </c>
      <c r="N899" s="157"/>
      <c r="O899" s="157" t="s">
        <v>596</v>
      </c>
      <c r="P899" s="163" t="s">
        <v>3012</v>
      </c>
    </row>
    <row r="900" s="93" customFormat="1" ht="20.1" customHeight="1" spans="1:16">
      <c r="A900" s="263" t="s">
        <v>597</v>
      </c>
      <c r="B900" s="297" t="s">
        <v>3013</v>
      </c>
      <c r="C900" s="265">
        <f t="shared" ref="C900:I900" si="203">SUM(C901:C922)</f>
        <v>13613</v>
      </c>
      <c r="D900" s="265">
        <f t="shared" si="188"/>
        <v>12897</v>
      </c>
      <c r="E900" s="265">
        <f t="shared" si="203"/>
        <v>670</v>
      </c>
      <c r="F900" s="265">
        <f t="shared" si="203"/>
        <v>0</v>
      </c>
      <c r="G900" s="265">
        <f t="shared" si="203"/>
        <v>10120</v>
      </c>
      <c r="H900" s="265">
        <f t="shared" si="203"/>
        <v>0</v>
      </c>
      <c r="I900" s="265">
        <f t="shared" si="203"/>
        <v>2107</v>
      </c>
      <c r="J900" s="298">
        <f t="shared" si="202"/>
        <v>94.74</v>
      </c>
      <c r="K900" s="284" t="s">
        <v>1082</v>
      </c>
      <c r="L900" s="285"/>
      <c r="M900" s="263" t="s">
        <v>597</v>
      </c>
      <c r="N900" s="263" t="s">
        <v>595</v>
      </c>
      <c r="O900" s="263" t="s">
        <v>597</v>
      </c>
      <c r="P900" s="286" t="s">
        <v>3014</v>
      </c>
    </row>
    <row r="901" s="92" customFormat="1" ht="20.1" customHeight="1" spans="1:16">
      <c r="A901" s="157" t="s">
        <v>3015</v>
      </c>
      <c r="B901" s="36" t="s">
        <v>1086</v>
      </c>
      <c r="C901" s="267">
        <v>168</v>
      </c>
      <c r="D901" s="268">
        <f t="shared" si="188"/>
        <v>47</v>
      </c>
      <c r="E901" s="267"/>
      <c r="F901" s="267"/>
      <c r="G901" s="267"/>
      <c r="H901" s="267"/>
      <c r="I901" s="287">
        <v>47</v>
      </c>
      <c r="J901" s="288">
        <f t="shared" si="202"/>
        <v>27.98</v>
      </c>
      <c r="K901" s="276" t="s">
        <v>1087</v>
      </c>
      <c r="L901" s="33">
        <v>1</v>
      </c>
      <c r="M901" s="157" t="s">
        <v>3015</v>
      </c>
      <c r="N901" s="157"/>
      <c r="O901" s="157" t="s">
        <v>597</v>
      </c>
      <c r="P901" s="164" t="s">
        <v>1088</v>
      </c>
    </row>
    <row r="902" s="92" customFormat="1" ht="20.1" customHeight="1" spans="1:16">
      <c r="A902" s="157" t="s">
        <v>3016</v>
      </c>
      <c r="B902" s="36" t="s">
        <v>1090</v>
      </c>
      <c r="C902" s="267"/>
      <c r="D902" s="268">
        <f t="shared" ref="D902:D965" si="204">SUM(E902:I902)</f>
        <v>0</v>
      </c>
      <c r="E902" s="267"/>
      <c r="F902" s="267"/>
      <c r="G902" s="267"/>
      <c r="H902" s="267"/>
      <c r="I902" s="287"/>
      <c r="J902" s="288">
        <f t="shared" si="202"/>
        <v>0</v>
      </c>
      <c r="K902" s="276" t="s">
        <v>1087</v>
      </c>
      <c r="L902" s="33">
        <v>1</v>
      </c>
      <c r="M902" s="157" t="s">
        <v>3016</v>
      </c>
      <c r="N902" s="157"/>
      <c r="O902" s="157" t="s">
        <v>597</v>
      </c>
      <c r="P902" s="164" t="s">
        <v>1091</v>
      </c>
    </row>
    <row r="903" s="92" customFormat="1" ht="20.1" customHeight="1" spans="1:16">
      <c r="A903" s="157" t="s">
        <v>3017</v>
      </c>
      <c r="B903" s="36" t="s">
        <v>1093</v>
      </c>
      <c r="C903" s="267"/>
      <c r="D903" s="268">
        <f t="shared" si="204"/>
        <v>0</v>
      </c>
      <c r="E903" s="267"/>
      <c r="F903" s="267"/>
      <c r="G903" s="267"/>
      <c r="H903" s="267"/>
      <c r="I903" s="287"/>
      <c r="J903" s="288">
        <f t="shared" si="202"/>
        <v>0</v>
      </c>
      <c r="K903" s="276" t="s">
        <v>1087</v>
      </c>
      <c r="L903" s="33">
        <v>1</v>
      </c>
      <c r="M903" s="157" t="s">
        <v>3017</v>
      </c>
      <c r="N903" s="157"/>
      <c r="O903" s="157" t="s">
        <v>597</v>
      </c>
      <c r="P903" s="164" t="s">
        <v>1094</v>
      </c>
    </row>
    <row r="904" s="92" customFormat="1" ht="20.1" customHeight="1" spans="1:16">
      <c r="A904" s="157" t="s">
        <v>3018</v>
      </c>
      <c r="B904" s="36" t="s">
        <v>3019</v>
      </c>
      <c r="C904" s="267">
        <v>2560</v>
      </c>
      <c r="D904" s="268">
        <f t="shared" si="204"/>
        <v>2060</v>
      </c>
      <c r="E904" s="267"/>
      <c r="F904" s="267"/>
      <c r="G904" s="267"/>
      <c r="H904" s="267"/>
      <c r="I904" s="287">
        <v>2060</v>
      </c>
      <c r="J904" s="288">
        <f t="shared" si="202"/>
        <v>80.47</v>
      </c>
      <c r="K904" s="276" t="s">
        <v>1087</v>
      </c>
      <c r="L904" s="33">
        <v>1</v>
      </c>
      <c r="M904" s="157" t="s">
        <v>3018</v>
      </c>
      <c r="N904" s="157"/>
      <c r="O904" s="157" t="s">
        <v>597</v>
      </c>
      <c r="P904" s="164" t="s">
        <v>3020</v>
      </c>
    </row>
    <row r="905" s="92" customFormat="1" ht="20.1" customHeight="1" spans="1:16">
      <c r="A905" s="157" t="s">
        <v>3021</v>
      </c>
      <c r="B905" s="36" t="s">
        <v>3022</v>
      </c>
      <c r="C905" s="267">
        <v>9198</v>
      </c>
      <c r="D905" s="268">
        <f t="shared" si="204"/>
        <v>3616</v>
      </c>
      <c r="E905" s="267"/>
      <c r="F905" s="267"/>
      <c r="G905" s="267">
        <v>3616</v>
      </c>
      <c r="H905" s="267"/>
      <c r="I905" s="287"/>
      <c r="J905" s="288">
        <f t="shared" si="202"/>
        <v>39.31</v>
      </c>
      <c r="K905" s="276" t="s">
        <v>1087</v>
      </c>
      <c r="L905" s="33">
        <v>1</v>
      </c>
      <c r="M905" s="157" t="s">
        <v>3021</v>
      </c>
      <c r="N905" s="157"/>
      <c r="O905" s="157" t="s">
        <v>597</v>
      </c>
      <c r="P905" s="164" t="s">
        <v>3023</v>
      </c>
    </row>
    <row r="906" s="92" customFormat="1" ht="20.1" customHeight="1" spans="1:16">
      <c r="A906" s="157" t="s">
        <v>3024</v>
      </c>
      <c r="B906" s="36" t="s">
        <v>3025</v>
      </c>
      <c r="C906" s="267"/>
      <c r="D906" s="268">
        <f t="shared" si="204"/>
        <v>0</v>
      </c>
      <c r="E906" s="267"/>
      <c r="F906" s="267"/>
      <c r="G906" s="267"/>
      <c r="H906" s="267"/>
      <c r="I906" s="287"/>
      <c r="J906" s="288">
        <f t="shared" si="202"/>
        <v>0</v>
      </c>
      <c r="K906" s="276" t="s">
        <v>1087</v>
      </c>
      <c r="L906" s="33">
        <v>1</v>
      </c>
      <c r="M906" s="157" t="s">
        <v>3024</v>
      </c>
      <c r="N906" s="157"/>
      <c r="O906" s="157" t="s">
        <v>597</v>
      </c>
      <c r="P906" s="164" t="s">
        <v>3026</v>
      </c>
    </row>
    <row r="907" s="92" customFormat="1" ht="20.1" customHeight="1" spans="1:16">
      <c r="A907" s="157" t="s">
        <v>3027</v>
      </c>
      <c r="B907" s="36" t="s">
        <v>3028</v>
      </c>
      <c r="C907" s="267"/>
      <c r="D907" s="268">
        <f t="shared" si="204"/>
        <v>0</v>
      </c>
      <c r="E907" s="267"/>
      <c r="F907" s="267"/>
      <c r="G907" s="267"/>
      <c r="H907" s="267"/>
      <c r="I907" s="287"/>
      <c r="J907" s="288">
        <f t="shared" si="202"/>
        <v>0</v>
      </c>
      <c r="K907" s="276" t="s">
        <v>1087</v>
      </c>
      <c r="L907" s="33">
        <v>1</v>
      </c>
      <c r="M907" s="157" t="s">
        <v>3027</v>
      </c>
      <c r="N907" s="157"/>
      <c r="O907" s="157" t="s">
        <v>597</v>
      </c>
      <c r="P907" s="163" t="s">
        <v>3029</v>
      </c>
    </row>
    <row r="908" s="92" customFormat="1" ht="20.1" customHeight="1" spans="1:16">
      <c r="A908" s="157" t="s">
        <v>3030</v>
      </c>
      <c r="B908" s="36" t="s">
        <v>3031</v>
      </c>
      <c r="C908" s="267"/>
      <c r="D908" s="268">
        <f t="shared" si="204"/>
        <v>27</v>
      </c>
      <c r="E908" s="267"/>
      <c r="F908" s="267"/>
      <c r="G908" s="267">
        <v>27</v>
      </c>
      <c r="H908" s="267"/>
      <c r="I908" s="287"/>
      <c r="J908" s="288">
        <f t="shared" si="202"/>
        <v>100</v>
      </c>
      <c r="K908" s="276" t="s">
        <v>1087</v>
      </c>
      <c r="L908" s="33">
        <v>1</v>
      </c>
      <c r="M908" s="157" t="s">
        <v>3030</v>
      </c>
      <c r="N908" s="157"/>
      <c r="O908" s="157" t="s">
        <v>597</v>
      </c>
      <c r="P908" s="163" t="s">
        <v>3032</v>
      </c>
    </row>
    <row r="909" s="92" customFormat="1" ht="20.1" customHeight="1" spans="1:16">
      <c r="A909" s="157" t="s">
        <v>3033</v>
      </c>
      <c r="B909" s="36" t="s">
        <v>3034</v>
      </c>
      <c r="C909" s="267"/>
      <c r="D909" s="268">
        <f t="shared" si="204"/>
        <v>0</v>
      </c>
      <c r="E909" s="267"/>
      <c r="F909" s="267"/>
      <c r="G909" s="267"/>
      <c r="H909" s="267"/>
      <c r="I909" s="287"/>
      <c r="J909" s="288">
        <f t="shared" si="202"/>
        <v>0</v>
      </c>
      <c r="K909" s="276" t="s">
        <v>1087</v>
      </c>
      <c r="L909" s="33">
        <v>1</v>
      </c>
      <c r="M909" s="157" t="s">
        <v>3033</v>
      </c>
      <c r="N909" s="157"/>
      <c r="O909" s="157" t="s">
        <v>597</v>
      </c>
      <c r="P909" s="163" t="s">
        <v>3035</v>
      </c>
    </row>
    <row r="910" s="92" customFormat="1" ht="20.1" customHeight="1" spans="1:16">
      <c r="A910" s="157" t="s">
        <v>3036</v>
      </c>
      <c r="B910" s="36" t="s">
        <v>3037</v>
      </c>
      <c r="C910" s="267"/>
      <c r="D910" s="268">
        <f t="shared" si="204"/>
        <v>0</v>
      </c>
      <c r="E910" s="267"/>
      <c r="F910" s="267"/>
      <c r="G910" s="267"/>
      <c r="H910" s="267"/>
      <c r="I910" s="287"/>
      <c r="J910" s="288">
        <f t="shared" si="202"/>
        <v>0</v>
      </c>
      <c r="K910" s="276" t="s">
        <v>1087</v>
      </c>
      <c r="L910" s="33">
        <v>1</v>
      </c>
      <c r="M910" s="157" t="s">
        <v>3036</v>
      </c>
      <c r="N910" s="157"/>
      <c r="O910" s="157" t="s">
        <v>597</v>
      </c>
      <c r="P910" s="163" t="s">
        <v>3038</v>
      </c>
    </row>
    <row r="911" s="92" customFormat="1" ht="20.1" customHeight="1" spans="1:16">
      <c r="A911" s="157" t="s">
        <v>3039</v>
      </c>
      <c r="B911" s="36" t="s">
        <v>3040</v>
      </c>
      <c r="C911" s="267"/>
      <c r="D911" s="268">
        <f t="shared" si="204"/>
        <v>0</v>
      </c>
      <c r="E911" s="267"/>
      <c r="F911" s="267"/>
      <c r="G911" s="267"/>
      <c r="H911" s="267"/>
      <c r="I911" s="287"/>
      <c r="J911" s="288">
        <f t="shared" si="202"/>
        <v>0</v>
      </c>
      <c r="K911" s="276" t="s">
        <v>1087</v>
      </c>
      <c r="L911" s="33">
        <v>1</v>
      </c>
      <c r="M911" s="157" t="s">
        <v>3039</v>
      </c>
      <c r="N911" s="157"/>
      <c r="O911" s="157" t="s">
        <v>597</v>
      </c>
      <c r="P911" s="164" t="s">
        <v>3041</v>
      </c>
    </row>
    <row r="912" s="92" customFormat="1" ht="20.1" customHeight="1" spans="1:16">
      <c r="A912" s="157" t="s">
        <v>3042</v>
      </c>
      <c r="B912" s="36" t="s">
        <v>3043</v>
      </c>
      <c r="C912" s="267"/>
      <c r="D912" s="268">
        <f t="shared" si="204"/>
        <v>0</v>
      </c>
      <c r="E912" s="267"/>
      <c r="F912" s="267"/>
      <c r="G912" s="267"/>
      <c r="H912" s="267"/>
      <c r="I912" s="287"/>
      <c r="J912" s="288">
        <f t="shared" si="202"/>
        <v>0</v>
      </c>
      <c r="K912" s="276" t="s">
        <v>1087</v>
      </c>
      <c r="L912" s="33">
        <v>1</v>
      </c>
      <c r="M912" s="157" t="s">
        <v>3042</v>
      </c>
      <c r="N912" s="157"/>
      <c r="O912" s="157" t="s">
        <v>597</v>
      </c>
      <c r="P912" s="163" t="s">
        <v>3044</v>
      </c>
    </row>
    <row r="913" s="92" customFormat="1" ht="20.1" customHeight="1" spans="1:16">
      <c r="A913" s="157" t="s">
        <v>3045</v>
      </c>
      <c r="B913" s="36" t="s">
        <v>3046</v>
      </c>
      <c r="C913" s="267"/>
      <c r="D913" s="268">
        <f t="shared" si="204"/>
        <v>0</v>
      </c>
      <c r="E913" s="267"/>
      <c r="F913" s="267"/>
      <c r="G913" s="267"/>
      <c r="H913" s="267"/>
      <c r="I913" s="287"/>
      <c r="J913" s="288">
        <f t="shared" si="202"/>
        <v>0</v>
      </c>
      <c r="K913" s="276" t="s">
        <v>1087</v>
      </c>
      <c r="L913" s="33">
        <v>1</v>
      </c>
      <c r="M913" s="157" t="s">
        <v>3045</v>
      </c>
      <c r="N913" s="157"/>
      <c r="O913" s="157" t="s">
        <v>597</v>
      </c>
      <c r="P913" s="164" t="s">
        <v>1593</v>
      </c>
    </row>
    <row r="914" s="92" customFormat="1" ht="20.1" customHeight="1" spans="1:16">
      <c r="A914" s="157" t="s">
        <v>3047</v>
      </c>
      <c r="B914" s="36" t="s">
        <v>3048</v>
      </c>
      <c r="C914" s="267"/>
      <c r="D914" s="268">
        <f t="shared" si="204"/>
        <v>0</v>
      </c>
      <c r="E914" s="267"/>
      <c r="F914" s="267"/>
      <c r="G914" s="267"/>
      <c r="H914" s="267"/>
      <c r="I914" s="287"/>
      <c r="J914" s="288">
        <f t="shared" si="202"/>
        <v>0</v>
      </c>
      <c r="K914" s="276" t="s">
        <v>1087</v>
      </c>
      <c r="L914" s="33">
        <v>1</v>
      </c>
      <c r="M914" s="157" t="s">
        <v>3047</v>
      </c>
      <c r="N914" s="157"/>
      <c r="O914" s="157" t="s">
        <v>597</v>
      </c>
      <c r="P914" s="164" t="s">
        <v>3049</v>
      </c>
    </row>
    <row r="915" s="92" customFormat="1" ht="20.1" customHeight="1" spans="1:16">
      <c r="A915" s="157" t="s">
        <v>3050</v>
      </c>
      <c r="B915" s="36" t="s">
        <v>3051</v>
      </c>
      <c r="C915" s="267"/>
      <c r="D915" s="268">
        <f t="shared" si="204"/>
        <v>0</v>
      </c>
      <c r="E915" s="267"/>
      <c r="F915" s="267"/>
      <c r="G915" s="267"/>
      <c r="H915" s="267"/>
      <c r="I915" s="287"/>
      <c r="J915" s="288">
        <f t="shared" si="202"/>
        <v>0</v>
      </c>
      <c r="K915" s="276" t="s">
        <v>1087</v>
      </c>
      <c r="L915" s="33">
        <v>1</v>
      </c>
      <c r="M915" s="157" t="s">
        <v>3050</v>
      </c>
      <c r="N915" s="157"/>
      <c r="O915" s="157" t="s">
        <v>597</v>
      </c>
      <c r="P915" s="164" t="s">
        <v>3052</v>
      </c>
    </row>
    <row r="916" s="92" customFormat="1" ht="20.1" customHeight="1" spans="1:16">
      <c r="A916" s="157" t="s">
        <v>3053</v>
      </c>
      <c r="B916" s="36" t="s">
        <v>3054</v>
      </c>
      <c r="C916" s="267"/>
      <c r="D916" s="268">
        <f t="shared" si="204"/>
        <v>0</v>
      </c>
      <c r="E916" s="267"/>
      <c r="F916" s="267"/>
      <c r="G916" s="267"/>
      <c r="H916" s="267"/>
      <c r="I916" s="287"/>
      <c r="J916" s="288">
        <f t="shared" si="202"/>
        <v>0</v>
      </c>
      <c r="K916" s="276" t="s">
        <v>1087</v>
      </c>
      <c r="L916" s="33">
        <v>1</v>
      </c>
      <c r="M916" s="157" t="s">
        <v>3053</v>
      </c>
      <c r="N916" s="157"/>
      <c r="O916" s="157" t="s">
        <v>597</v>
      </c>
      <c r="P916" s="164" t="s">
        <v>3055</v>
      </c>
    </row>
    <row r="917" s="92" customFormat="1" ht="20.1" customHeight="1" spans="1:16">
      <c r="A917" s="157" t="s">
        <v>3056</v>
      </c>
      <c r="B917" s="36" t="s">
        <v>3057</v>
      </c>
      <c r="C917" s="267"/>
      <c r="D917" s="268">
        <f t="shared" si="204"/>
        <v>0</v>
      </c>
      <c r="E917" s="267"/>
      <c r="F917" s="267"/>
      <c r="G917" s="267"/>
      <c r="H917" s="267"/>
      <c r="I917" s="287"/>
      <c r="J917" s="288">
        <f t="shared" si="202"/>
        <v>0</v>
      </c>
      <c r="K917" s="276" t="s">
        <v>1087</v>
      </c>
      <c r="L917" s="33">
        <v>1</v>
      </c>
      <c r="M917" s="157" t="s">
        <v>3056</v>
      </c>
      <c r="N917" s="157"/>
      <c r="O917" s="157" t="s">
        <v>597</v>
      </c>
      <c r="P917" s="164" t="s">
        <v>3058</v>
      </c>
    </row>
    <row r="918" s="92" customFormat="1" ht="20.1" customHeight="1" spans="1:16">
      <c r="A918" s="157" t="s">
        <v>3059</v>
      </c>
      <c r="B918" s="36" t="s">
        <v>3060</v>
      </c>
      <c r="C918" s="267">
        <v>92</v>
      </c>
      <c r="D918" s="268">
        <f t="shared" si="204"/>
        <v>9</v>
      </c>
      <c r="E918" s="267"/>
      <c r="F918" s="267"/>
      <c r="G918" s="267">
        <v>9</v>
      </c>
      <c r="H918" s="267"/>
      <c r="I918" s="287"/>
      <c r="J918" s="288">
        <f t="shared" si="202"/>
        <v>9.78</v>
      </c>
      <c r="K918" s="276" t="s">
        <v>1087</v>
      </c>
      <c r="L918" s="33">
        <v>1</v>
      </c>
      <c r="M918" s="157" t="s">
        <v>3059</v>
      </c>
      <c r="N918" s="157"/>
      <c r="O918" s="157" t="s">
        <v>597</v>
      </c>
      <c r="P918" s="164" t="s">
        <v>3061</v>
      </c>
    </row>
    <row r="919" s="92" customFormat="1" ht="20.1" customHeight="1" spans="1:16">
      <c r="A919" s="157" t="s">
        <v>3062</v>
      </c>
      <c r="B919" s="36" t="s">
        <v>3063</v>
      </c>
      <c r="C919" s="267"/>
      <c r="D919" s="268">
        <f t="shared" si="204"/>
        <v>0</v>
      </c>
      <c r="E919" s="267"/>
      <c r="F919" s="267"/>
      <c r="G919" s="267"/>
      <c r="H919" s="267"/>
      <c r="I919" s="287"/>
      <c r="J919" s="288">
        <f t="shared" si="202"/>
        <v>0</v>
      </c>
      <c r="K919" s="276" t="s">
        <v>1087</v>
      </c>
      <c r="L919" s="33">
        <v>1</v>
      </c>
      <c r="M919" s="157" t="s">
        <v>3062</v>
      </c>
      <c r="N919" s="157"/>
      <c r="O919" s="157" t="s">
        <v>597</v>
      </c>
      <c r="P919" s="164" t="s">
        <v>3064</v>
      </c>
    </row>
    <row r="920" s="92" customFormat="1" ht="20.1" customHeight="1" spans="1:16">
      <c r="A920" s="157" t="s">
        <v>3065</v>
      </c>
      <c r="B920" s="36" t="s">
        <v>3066</v>
      </c>
      <c r="C920" s="267"/>
      <c r="D920" s="268">
        <f t="shared" si="204"/>
        <v>0</v>
      </c>
      <c r="E920" s="267"/>
      <c r="F920" s="267"/>
      <c r="G920" s="267"/>
      <c r="H920" s="267"/>
      <c r="I920" s="287"/>
      <c r="J920" s="288">
        <f t="shared" si="202"/>
        <v>0</v>
      </c>
      <c r="K920" s="276" t="s">
        <v>1087</v>
      </c>
      <c r="L920" s="33">
        <v>1</v>
      </c>
      <c r="M920" s="157" t="s">
        <v>3065</v>
      </c>
      <c r="N920" s="157"/>
      <c r="O920" s="157" t="s">
        <v>597</v>
      </c>
      <c r="P920" s="164" t="s">
        <v>3067</v>
      </c>
    </row>
    <row r="921" s="92" customFormat="1" ht="20.1" customHeight="1" spans="1:16">
      <c r="A921" s="157" t="s">
        <v>3068</v>
      </c>
      <c r="B921" s="36" t="s">
        <v>3069</v>
      </c>
      <c r="C921" s="267"/>
      <c r="D921" s="268">
        <f t="shared" si="204"/>
        <v>49</v>
      </c>
      <c r="E921" s="267"/>
      <c r="F921" s="267"/>
      <c r="G921" s="267">
        <v>49</v>
      </c>
      <c r="H921" s="267"/>
      <c r="I921" s="287"/>
      <c r="J921" s="288"/>
      <c r="K921" s="276" t="s">
        <v>1087</v>
      </c>
      <c r="L921" s="33">
        <v>1</v>
      </c>
      <c r="M921" s="157" t="s">
        <v>3068</v>
      </c>
      <c r="N921" s="157"/>
      <c r="O921" s="157" t="s">
        <v>597</v>
      </c>
      <c r="P921" s="36" t="s">
        <v>3070</v>
      </c>
    </row>
    <row r="922" s="92" customFormat="1" ht="20.1" customHeight="1" spans="1:16">
      <c r="A922" s="157" t="s">
        <v>3071</v>
      </c>
      <c r="B922" s="36" t="s">
        <v>3072</v>
      </c>
      <c r="C922" s="267">
        <v>1595</v>
      </c>
      <c r="D922" s="268">
        <f t="shared" si="204"/>
        <v>7089</v>
      </c>
      <c r="E922" s="267">
        <v>670</v>
      </c>
      <c r="F922" s="267"/>
      <c r="G922" s="267">
        <v>6419</v>
      </c>
      <c r="H922" s="267"/>
      <c r="I922" s="287"/>
      <c r="J922" s="288">
        <f t="shared" ref="J922:J947" si="205">ROUND(IF(C922=0,IF(D922=0,0,1),IF(D922=0,-1,D922/C922)),4)*100</f>
        <v>444.45</v>
      </c>
      <c r="K922" s="276" t="s">
        <v>1087</v>
      </c>
      <c r="L922" s="33">
        <v>1</v>
      </c>
      <c r="M922" s="157" t="s">
        <v>3071</v>
      </c>
      <c r="N922" s="157"/>
      <c r="O922" s="157" t="s">
        <v>597</v>
      </c>
      <c r="P922" s="164" t="s">
        <v>3073</v>
      </c>
    </row>
    <row r="923" s="93" customFormat="1" ht="20.1" customHeight="1" spans="1:16">
      <c r="A923" s="263" t="s">
        <v>598</v>
      </c>
      <c r="B923" s="297" t="s">
        <v>3074</v>
      </c>
      <c r="C923" s="265">
        <f t="shared" ref="C923:I923" si="206">SUM(C924:C950)</f>
        <v>2975</v>
      </c>
      <c r="D923" s="265">
        <f t="shared" si="204"/>
        <v>4744</v>
      </c>
      <c r="E923" s="265">
        <f t="shared" si="206"/>
        <v>1589</v>
      </c>
      <c r="F923" s="265">
        <f t="shared" si="206"/>
        <v>118</v>
      </c>
      <c r="G923" s="265">
        <f t="shared" si="206"/>
        <v>2489</v>
      </c>
      <c r="H923" s="265">
        <f t="shared" si="206"/>
        <v>0</v>
      </c>
      <c r="I923" s="265">
        <f t="shared" si="206"/>
        <v>548</v>
      </c>
      <c r="J923" s="298">
        <f t="shared" si="205"/>
        <v>159.46</v>
      </c>
      <c r="K923" s="284" t="s">
        <v>1082</v>
      </c>
      <c r="L923" s="285"/>
      <c r="M923" s="263" t="s">
        <v>598</v>
      </c>
      <c r="N923" s="263" t="s">
        <v>595</v>
      </c>
      <c r="O923" s="263" t="s">
        <v>598</v>
      </c>
      <c r="P923" s="286" t="s">
        <v>3075</v>
      </c>
    </row>
    <row r="924" s="92" customFormat="1" ht="20.1" customHeight="1" spans="1:16">
      <c r="A924" s="157" t="s">
        <v>3076</v>
      </c>
      <c r="B924" s="36" t="s">
        <v>1086</v>
      </c>
      <c r="C924" s="267">
        <v>129</v>
      </c>
      <c r="D924" s="268">
        <f t="shared" si="204"/>
        <v>111</v>
      </c>
      <c r="E924" s="267"/>
      <c r="F924" s="267"/>
      <c r="G924" s="267"/>
      <c r="H924" s="267"/>
      <c r="I924" s="287">
        <v>111</v>
      </c>
      <c r="J924" s="288">
        <f t="shared" si="205"/>
        <v>86.05</v>
      </c>
      <c r="K924" s="276" t="s">
        <v>1087</v>
      </c>
      <c r="L924" s="33">
        <v>1</v>
      </c>
      <c r="M924" s="157" t="s">
        <v>3076</v>
      </c>
      <c r="N924" s="157"/>
      <c r="O924" s="157" t="s">
        <v>598</v>
      </c>
      <c r="P924" s="164" t="s">
        <v>1088</v>
      </c>
    </row>
    <row r="925" s="92" customFormat="1" ht="20.1" customHeight="1" spans="1:16">
      <c r="A925" s="157" t="s">
        <v>3077</v>
      </c>
      <c r="B925" s="36" t="s">
        <v>1090</v>
      </c>
      <c r="C925" s="267">
        <v>277</v>
      </c>
      <c r="D925" s="268">
        <f t="shared" si="204"/>
        <v>315</v>
      </c>
      <c r="E925" s="267"/>
      <c r="F925" s="267"/>
      <c r="G925" s="267"/>
      <c r="H925" s="267"/>
      <c r="I925" s="287">
        <v>315</v>
      </c>
      <c r="J925" s="288">
        <f t="shared" si="205"/>
        <v>113.72</v>
      </c>
      <c r="K925" s="276" t="s">
        <v>1087</v>
      </c>
      <c r="L925" s="33">
        <v>1</v>
      </c>
      <c r="M925" s="157" t="s">
        <v>3077</v>
      </c>
      <c r="N925" s="157"/>
      <c r="O925" s="157" t="s">
        <v>598</v>
      </c>
      <c r="P925" s="164" t="s">
        <v>1091</v>
      </c>
    </row>
    <row r="926" s="92" customFormat="1" ht="20.1" customHeight="1" spans="1:16">
      <c r="A926" s="157" t="s">
        <v>3078</v>
      </c>
      <c r="B926" s="36" t="s">
        <v>1093</v>
      </c>
      <c r="C926" s="267"/>
      <c r="D926" s="268">
        <f t="shared" si="204"/>
        <v>0</v>
      </c>
      <c r="E926" s="267"/>
      <c r="F926" s="267"/>
      <c r="G926" s="267"/>
      <c r="H926" s="267"/>
      <c r="I926" s="287"/>
      <c r="J926" s="288">
        <f t="shared" si="205"/>
        <v>0</v>
      </c>
      <c r="K926" s="276" t="s">
        <v>1087</v>
      </c>
      <c r="L926" s="33">
        <v>1</v>
      </c>
      <c r="M926" s="157" t="s">
        <v>3078</v>
      </c>
      <c r="N926" s="157"/>
      <c r="O926" s="157" t="s">
        <v>598</v>
      </c>
      <c r="P926" s="164" t="s">
        <v>1094</v>
      </c>
    </row>
    <row r="927" s="92" customFormat="1" ht="20.1" customHeight="1" spans="1:16">
      <c r="A927" s="157" t="s">
        <v>3079</v>
      </c>
      <c r="B927" s="36" t="s">
        <v>3080</v>
      </c>
      <c r="C927" s="267">
        <v>95</v>
      </c>
      <c r="D927" s="268">
        <f t="shared" si="204"/>
        <v>79</v>
      </c>
      <c r="E927" s="267"/>
      <c r="F927" s="267"/>
      <c r="G927" s="267"/>
      <c r="H927" s="267"/>
      <c r="I927" s="287">
        <v>79</v>
      </c>
      <c r="J927" s="288">
        <f t="shared" si="205"/>
        <v>83.16</v>
      </c>
      <c r="K927" s="276" t="s">
        <v>1087</v>
      </c>
      <c r="L927" s="33">
        <v>1</v>
      </c>
      <c r="M927" s="157" t="s">
        <v>3079</v>
      </c>
      <c r="N927" s="157"/>
      <c r="O927" s="157" t="s">
        <v>598</v>
      </c>
      <c r="P927" s="163" t="s">
        <v>3081</v>
      </c>
    </row>
    <row r="928" s="92" customFormat="1" ht="20.1" customHeight="1" spans="1:16">
      <c r="A928" s="157" t="s">
        <v>3082</v>
      </c>
      <c r="B928" s="36" t="s">
        <v>3083</v>
      </c>
      <c r="C928" s="267">
        <v>967</v>
      </c>
      <c r="D928" s="268">
        <f t="shared" si="204"/>
        <v>609</v>
      </c>
      <c r="E928" s="267"/>
      <c r="F928" s="267">
        <v>118</v>
      </c>
      <c r="G928" s="267">
        <v>491</v>
      </c>
      <c r="H928" s="267"/>
      <c r="I928" s="287"/>
      <c r="J928" s="288">
        <f t="shared" si="205"/>
        <v>62.98</v>
      </c>
      <c r="K928" s="276" t="s">
        <v>1087</v>
      </c>
      <c r="L928" s="33">
        <v>1</v>
      </c>
      <c r="M928" s="157" t="s">
        <v>3082</v>
      </c>
      <c r="N928" s="157"/>
      <c r="O928" s="157" t="s">
        <v>598</v>
      </c>
      <c r="P928" s="164" t="s">
        <v>3084</v>
      </c>
    </row>
    <row r="929" s="92" customFormat="1" ht="20.1" customHeight="1" spans="1:16">
      <c r="A929" s="157" t="s">
        <v>3085</v>
      </c>
      <c r="B929" s="36" t="s">
        <v>3086</v>
      </c>
      <c r="C929" s="267">
        <v>952</v>
      </c>
      <c r="D929" s="268">
        <f t="shared" si="204"/>
        <v>1472</v>
      </c>
      <c r="E929" s="267"/>
      <c r="F929" s="267"/>
      <c r="G929" s="267">
        <v>1472</v>
      </c>
      <c r="H929" s="267"/>
      <c r="I929" s="287"/>
      <c r="J929" s="288">
        <f t="shared" si="205"/>
        <v>154.62</v>
      </c>
      <c r="K929" s="276" t="s">
        <v>1087</v>
      </c>
      <c r="L929" s="33">
        <v>1</v>
      </c>
      <c r="M929" s="157" t="s">
        <v>3085</v>
      </c>
      <c r="N929" s="157"/>
      <c r="O929" s="157" t="s">
        <v>598</v>
      </c>
      <c r="P929" s="163" t="s">
        <v>3087</v>
      </c>
    </row>
    <row r="930" s="92" customFormat="1" ht="20.1" customHeight="1" spans="1:16">
      <c r="A930" s="157" t="s">
        <v>3088</v>
      </c>
      <c r="B930" s="36" t="s">
        <v>3089</v>
      </c>
      <c r="C930" s="267"/>
      <c r="D930" s="268">
        <f t="shared" si="204"/>
        <v>0</v>
      </c>
      <c r="E930" s="267"/>
      <c r="F930" s="267"/>
      <c r="G930" s="267"/>
      <c r="H930" s="267"/>
      <c r="I930" s="287"/>
      <c r="J930" s="288">
        <f t="shared" si="205"/>
        <v>0</v>
      </c>
      <c r="K930" s="276" t="s">
        <v>1087</v>
      </c>
      <c r="L930" s="33">
        <v>1</v>
      </c>
      <c r="M930" s="157" t="s">
        <v>3088</v>
      </c>
      <c r="N930" s="157"/>
      <c r="O930" s="157" t="s">
        <v>598</v>
      </c>
      <c r="P930" s="163" t="s">
        <v>3090</v>
      </c>
    </row>
    <row r="931" s="92" customFormat="1" ht="20.1" customHeight="1" spans="1:16">
      <c r="A931" s="157" t="s">
        <v>3091</v>
      </c>
      <c r="B931" s="36" t="s">
        <v>3092</v>
      </c>
      <c r="C931" s="267"/>
      <c r="D931" s="268">
        <f t="shared" si="204"/>
        <v>0</v>
      </c>
      <c r="E931" s="267"/>
      <c r="F931" s="267"/>
      <c r="G931" s="267"/>
      <c r="H931" s="267"/>
      <c r="I931" s="287"/>
      <c r="J931" s="288">
        <f t="shared" si="205"/>
        <v>0</v>
      </c>
      <c r="K931" s="276" t="s">
        <v>1087</v>
      </c>
      <c r="L931" s="33">
        <v>1</v>
      </c>
      <c r="M931" s="157" t="s">
        <v>3091</v>
      </c>
      <c r="N931" s="157"/>
      <c r="O931" s="157" t="s">
        <v>598</v>
      </c>
      <c r="P931" s="163" t="s">
        <v>3093</v>
      </c>
    </row>
    <row r="932" s="92" customFormat="1" ht="20.1" customHeight="1" spans="1:16">
      <c r="A932" s="157" t="s">
        <v>3094</v>
      </c>
      <c r="B932" s="36" t="s">
        <v>3095</v>
      </c>
      <c r="C932" s="267"/>
      <c r="D932" s="268">
        <f t="shared" si="204"/>
        <v>0</v>
      </c>
      <c r="E932" s="267"/>
      <c r="F932" s="267"/>
      <c r="G932" s="267"/>
      <c r="H932" s="267"/>
      <c r="I932" s="287"/>
      <c r="J932" s="288">
        <f t="shared" si="205"/>
        <v>0</v>
      </c>
      <c r="K932" s="276" t="s">
        <v>1087</v>
      </c>
      <c r="L932" s="33">
        <v>1</v>
      </c>
      <c r="M932" s="157" t="s">
        <v>3094</v>
      </c>
      <c r="N932" s="157"/>
      <c r="O932" s="157" t="s">
        <v>598</v>
      </c>
      <c r="P932" s="163" t="s">
        <v>3096</v>
      </c>
    </row>
    <row r="933" s="92" customFormat="1" ht="20.1" customHeight="1" spans="1:16">
      <c r="A933" s="157" t="s">
        <v>3097</v>
      </c>
      <c r="B933" s="36" t="s">
        <v>3098</v>
      </c>
      <c r="C933" s="267">
        <v>75</v>
      </c>
      <c r="D933" s="268">
        <f t="shared" si="204"/>
        <v>208</v>
      </c>
      <c r="E933" s="267"/>
      <c r="F933" s="267"/>
      <c r="G933" s="267">
        <v>208</v>
      </c>
      <c r="H933" s="267"/>
      <c r="I933" s="287"/>
      <c r="J933" s="288">
        <f t="shared" si="205"/>
        <v>277.33</v>
      </c>
      <c r="K933" s="276" t="s">
        <v>1087</v>
      </c>
      <c r="L933" s="33">
        <v>1</v>
      </c>
      <c r="M933" s="157" t="s">
        <v>3097</v>
      </c>
      <c r="N933" s="157"/>
      <c r="O933" s="157" t="s">
        <v>598</v>
      </c>
      <c r="P933" s="164" t="s">
        <v>3099</v>
      </c>
    </row>
    <row r="934" s="92" customFormat="1" ht="20.1" customHeight="1" spans="1:16">
      <c r="A934" s="157" t="s">
        <v>3100</v>
      </c>
      <c r="B934" s="36" t="s">
        <v>3101</v>
      </c>
      <c r="C934" s="267">
        <v>106</v>
      </c>
      <c r="D934" s="268">
        <f t="shared" si="204"/>
        <v>0</v>
      </c>
      <c r="E934" s="267"/>
      <c r="F934" s="267"/>
      <c r="G934" s="267"/>
      <c r="H934" s="267"/>
      <c r="I934" s="287"/>
      <c r="J934" s="288">
        <f t="shared" si="205"/>
        <v>-100</v>
      </c>
      <c r="K934" s="276" t="s">
        <v>1087</v>
      </c>
      <c r="L934" s="33">
        <v>1</v>
      </c>
      <c r="M934" s="157" t="s">
        <v>3100</v>
      </c>
      <c r="N934" s="157"/>
      <c r="O934" s="157" t="s">
        <v>598</v>
      </c>
      <c r="P934" s="163" t="s">
        <v>3102</v>
      </c>
    </row>
    <row r="935" s="92" customFormat="1" ht="20.1" customHeight="1" spans="1:16">
      <c r="A935" s="157" t="s">
        <v>3103</v>
      </c>
      <c r="B935" s="36" t="s">
        <v>3104</v>
      </c>
      <c r="C935" s="267"/>
      <c r="D935" s="268">
        <f t="shared" si="204"/>
        <v>0</v>
      </c>
      <c r="E935" s="267"/>
      <c r="F935" s="267"/>
      <c r="G935" s="267"/>
      <c r="H935" s="267"/>
      <c r="I935" s="287"/>
      <c r="J935" s="288">
        <f t="shared" si="205"/>
        <v>0</v>
      </c>
      <c r="K935" s="276" t="s">
        <v>1087</v>
      </c>
      <c r="L935" s="33">
        <v>1</v>
      </c>
      <c r="M935" s="157" t="s">
        <v>3103</v>
      </c>
      <c r="N935" s="157"/>
      <c r="O935" s="157" t="s">
        <v>598</v>
      </c>
      <c r="P935" s="163" t="s">
        <v>3105</v>
      </c>
    </row>
    <row r="936" s="92" customFormat="1" ht="20.1" customHeight="1" spans="1:16">
      <c r="A936" s="157" t="s">
        <v>3106</v>
      </c>
      <c r="B936" s="36" t="s">
        <v>3107</v>
      </c>
      <c r="C936" s="267"/>
      <c r="D936" s="268">
        <f t="shared" si="204"/>
        <v>0</v>
      </c>
      <c r="E936" s="267"/>
      <c r="F936" s="267"/>
      <c r="G936" s="267"/>
      <c r="H936" s="267"/>
      <c r="I936" s="287"/>
      <c r="J936" s="288">
        <f t="shared" si="205"/>
        <v>0</v>
      </c>
      <c r="K936" s="276" t="s">
        <v>1087</v>
      </c>
      <c r="L936" s="33">
        <v>1</v>
      </c>
      <c r="M936" s="157" t="s">
        <v>3106</v>
      </c>
      <c r="N936" s="157"/>
      <c r="O936" s="157" t="s">
        <v>598</v>
      </c>
      <c r="P936" s="163" t="s">
        <v>3108</v>
      </c>
    </row>
    <row r="937" s="92" customFormat="1" ht="20.1" customHeight="1" spans="1:16">
      <c r="A937" s="157" t="s">
        <v>3109</v>
      </c>
      <c r="B937" s="36" t="s">
        <v>3110</v>
      </c>
      <c r="C937" s="267">
        <v>155</v>
      </c>
      <c r="D937" s="268">
        <f t="shared" si="204"/>
        <v>1169</v>
      </c>
      <c r="E937" s="267">
        <v>865</v>
      </c>
      <c r="F937" s="267"/>
      <c r="G937" s="267">
        <v>274</v>
      </c>
      <c r="H937" s="267"/>
      <c r="I937" s="287">
        <v>30</v>
      </c>
      <c r="J937" s="288">
        <f t="shared" si="205"/>
        <v>754.19</v>
      </c>
      <c r="K937" s="276" t="s">
        <v>1087</v>
      </c>
      <c r="L937" s="33">
        <v>1</v>
      </c>
      <c r="M937" s="157" t="s">
        <v>3109</v>
      </c>
      <c r="N937" s="157"/>
      <c r="O937" s="157" t="s">
        <v>598</v>
      </c>
      <c r="P937" s="163" t="s">
        <v>3111</v>
      </c>
    </row>
    <row r="938" s="92" customFormat="1" ht="20.1" customHeight="1" spans="1:16">
      <c r="A938" s="157" t="s">
        <v>3112</v>
      </c>
      <c r="B938" s="36" t="s">
        <v>3113</v>
      </c>
      <c r="C938" s="267">
        <v>41</v>
      </c>
      <c r="D938" s="268">
        <f t="shared" si="204"/>
        <v>39</v>
      </c>
      <c r="E938" s="267"/>
      <c r="F938" s="267"/>
      <c r="G938" s="267">
        <v>39</v>
      </c>
      <c r="H938" s="267"/>
      <c r="I938" s="287"/>
      <c r="J938" s="288">
        <f t="shared" si="205"/>
        <v>95.12</v>
      </c>
      <c r="K938" s="276" t="s">
        <v>1087</v>
      </c>
      <c r="L938" s="33">
        <v>1</v>
      </c>
      <c r="M938" s="157" t="s">
        <v>3112</v>
      </c>
      <c r="N938" s="157"/>
      <c r="O938" s="157" t="s">
        <v>598</v>
      </c>
      <c r="P938" s="163" t="s">
        <v>3114</v>
      </c>
    </row>
    <row r="939" s="92" customFormat="1" ht="20.1" customHeight="1" spans="1:16">
      <c r="A939" s="157" t="s">
        <v>3115</v>
      </c>
      <c r="B939" s="36" t="s">
        <v>3116</v>
      </c>
      <c r="C939" s="267"/>
      <c r="D939" s="268">
        <f t="shared" si="204"/>
        <v>5</v>
      </c>
      <c r="E939" s="267"/>
      <c r="F939" s="267"/>
      <c r="G939" s="267"/>
      <c r="H939" s="267"/>
      <c r="I939" s="287">
        <v>5</v>
      </c>
      <c r="J939" s="288">
        <f t="shared" si="205"/>
        <v>100</v>
      </c>
      <c r="K939" s="276" t="s">
        <v>1087</v>
      </c>
      <c r="L939" s="33">
        <v>1</v>
      </c>
      <c r="M939" s="157" t="s">
        <v>3115</v>
      </c>
      <c r="N939" s="157"/>
      <c r="O939" s="157" t="s">
        <v>598</v>
      </c>
      <c r="P939" s="163" t="s">
        <v>3117</v>
      </c>
    </row>
    <row r="940" s="92" customFormat="1" ht="20.1" customHeight="1" spans="1:16">
      <c r="A940" s="157" t="s">
        <v>3118</v>
      </c>
      <c r="B940" s="36" t="s">
        <v>3119</v>
      </c>
      <c r="C940" s="267"/>
      <c r="D940" s="268">
        <f t="shared" si="204"/>
        <v>0</v>
      </c>
      <c r="E940" s="267"/>
      <c r="F940" s="267"/>
      <c r="G940" s="267"/>
      <c r="H940" s="267"/>
      <c r="I940" s="287"/>
      <c r="J940" s="288">
        <f t="shared" si="205"/>
        <v>0</v>
      </c>
      <c r="K940" s="276" t="s">
        <v>1087</v>
      </c>
      <c r="L940" s="33">
        <v>1</v>
      </c>
      <c r="M940" s="157" t="s">
        <v>3118</v>
      </c>
      <c r="N940" s="157"/>
      <c r="O940" s="157" t="s">
        <v>598</v>
      </c>
      <c r="P940" s="163" t="s">
        <v>3120</v>
      </c>
    </row>
    <row r="941" s="92" customFormat="1" ht="20.1" customHeight="1" spans="1:16">
      <c r="A941" s="157" t="s">
        <v>3121</v>
      </c>
      <c r="B941" s="36" t="s">
        <v>3122</v>
      </c>
      <c r="C941" s="267"/>
      <c r="D941" s="268">
        <f t="shared" si="204"/>
        <v>0</v>
      </c>
      <c r="E941" s="267"/>
      <c r="F941" s="267"/>
      <c r="G941" s="267"/>
      <c r="H941" s="267"/>
      <c r="I941" s="287"/>
      <c r="J941" s="288">
        <f t="shared" si="205"/>
        <v>0</v>
      </c>
      <c r="K941" s="276" t="s">
        <v>1087</v>
      </c>
      <c r="L941" s="33">
        <v>1</v>
      </c>
      <c r="M941" s="157" t="s">
        <v>3121</v>
      </c>
      <c r="N941" s="157"/>
      <c r="O941" s="157" t="s">
        <v>598</v>
      </c>
      <c r="P941" s="163" t="s">
        <v>3123</v>
      </c>
    </row>
    <row r="942" s="92" customFormat="1" ht="20.1" customHeight="1" spans="1:16">
      <c r="A942" s="157" t="s">
        <v>3124</v>
      </c>
      <c r="B942" s="36" t="s">
        <v>3125</v>
      </c>
      <c r="C942" s="267"/>
      <c r="D942" s="268">
        <f t="shared" si="204"/>
        <v>0</v>
      </c>
      <c r="E942" s="267"/>
      <c r="F942" s="267"/>
      <c r="G942" s="267"/>
      <c r="H942" s="267"/>
      <c r="I942" s="287"/>
      <c r="J942" s="288">
        <f t="shared" si="205"/>
        <v>0</v>
      </c>
      <c r="K942" s="276" t="s">
        <v>1087</v>
      </c>
      <c r="L942" s="33">
        <v>1</v>
      </c>
      <c r="M942" s="157" t="s">
        <v>3124</v>
      </c>
      <c r="N942" s="157"/>
      <c r="O942" s="157" t="s">
        <v>598</v>
      </c>
      <c r="P942" s="163" t="s">
        <v>3126</v>
      </c>
    </row>
    <row r="943" s="92" customFormat="1" ht="20.1" customHeight="1" spans="1:16">
      <c r="A943" s="157" t="s">
        <v>3127</v>
      </c>
      <c r="B943" s="36" t="s">
        <v>3128</v>
      </c>
      <c r="C943" s="267">
        <v>115</v>
      </c>
      <c r="D943" s="268">
        <f t="shared" si="204"/>
        <v>306</v>
      </c>
      <c r="E943" s="267">
        <v>306</v>
      </c>
      <c r="F943" s="267"/>
      <c r="G943" s="267"/>
      <c r="H943" s="267"/>
      <c r="I943" s="287"/>
      <c r="J943" s="288">
        <f t="shared" si="205"/>
        <v>266.09</v>
      </c>
      <c r="K943" s="276" t="s">
        <v>1087</v>
      </c>
      <c r="L943" s="33">
        <v>1</v>
      </c>
      <c r="M943" s="157" t="s">
        <v>3127</v>
      </c>
      <c r="N943" s="157"/>
      <c r="O943" s="157" t="s">
        <v>598</v>
      </c>
      <c r="P943" s="163" t="s">
        <v>3129</v>
      </c>
    </row>
    <row r="944" s="92" customFormat="1" ht="20.1" customHeight="1" spans="1:16">
      <c r="A944" s="157" t="s">
        <v>3130</v>
      </c>
      <c r="B944" s="36" t="s">
        <v>3131</v>
      </c>
      <c r="C944" s="267"/>
      <c r="D944" s="268">
        <f t="shared" si="204"/>
        <v>0</v>
      </c>
      <c r="E944" s="267"/>
      <c r="F944" s="267"/>
      <c r="G944" s="267"/>
      <c r="H944" s="267"/>
      <c r="I944" s="287"/>
      <c r="J944" s="288">
        <f t="shared" si="205"/>
        <v>0</v>
      </c>
      <c r="K944" s="276" t="s">
        <v>1087</v>
      </c>
      <c r="L944" s="33">
        <v>1</v>
      </c>
      <c r="M944" s="157" t="s">
        <v>3130</v>
      </c>
      <c r="N944" s="157"/>
      <c r="O944" s="157" t="s">
        <v>598</v>
      </c>
      <c r="P944" s="163" t="s">
        <v>3132</v>
      </c>
    </row>
    <row r="945" s="92" customFormat="1" ht="20.1" customHeight="1" spans="1:16">
      <c r="A945" s="157" t="s">
        <v>3133</v>
      </c>
      <c r="B945" s="36" t="s">
        <v>3051</v>
      </c>
      <c r="C945" s="267"/>
      <c r="D945" s="268">
        <f t="shared" si="204"/>
        <v>0</v>
      </c>
      <c r="E945" s="267"/>
      <c r="F945" s="267"/>
      <c r="G945" s="267"/>
      <c r="H945" s="267"/>
      <c r="I945" s="287"/>
      <c r="J945" s="288">
        <f t="shared" si="205"/>
        <v>0</v>
      </c>
      <c r="K945" s="276" t="s">
        <v>1087</v>
      </c>
      <c r="L945" s="33">
        <v>1</v>
      </c>
      <c r="M945" s="157" t="s">
        <v>3133</v>
      </c>
      <c r="N945" s="157"/>
      <c r="O945" s="157" t="s">
        <v>598</v>
      </c>
      <c r="P945" s="164" t="s">
        <v>3052</v>
      </c>
    </row>
    <row r="946" s="92" customFormat="1" ht="20.1" customHeight="1" spans="1:16">
      <c r="A946" s="157" t="s">
        <v>3134</v>
      </c>
      <c r="B946" s="36" t="s">
        <v>3135</v>
      </c>
      <c r="C946" s="267">
        <v>25</v>
      </c>
      <c r="D946" s="268">
        <f t="shared" si="204"/>
        <v>0</v>
      </c>
      <c r="E946" s="267"/>
      <c r="F946" s="267"/>
      <c r="G946" s="267"/>
      <c r="H946" s="267"/>
      <c r="I946" s="287"/>
      <c r="J946" s="288">
        <f t="shared" si="205"/>
        <v>-100</v>
      </c>
      <c r="K946" s="276" t="s">
        <v>1087</v>
      </c>
      <c r="L946" s="33">
        <v>1</v>
      </c>
      <c r="M946" s="157" t="s">
        <v>3134</v>
      </c>
      <c r="N946" s="157"/>
      <c r="O946" s="157" t="s">
        <v>598</v>
      </c>
      <c r="P946" s="163" t="s">
        <v>3136</v>
      </c>
    </row>
    <row r="947" s="92" customFormat="1" ht="20.1" customHeight="1" spans="1:16">
      <c r="A947" s="157" t="s">
        <v>3137</v>
      </c>
      <c r="B947" s="36" t="s">
        <v>3138</v>
      </c>
      <c r="C947" s="267"/>
      <c r="D947" s="268">
        <f t="shared" si="204"/>
        <v>383</v>
      </c>
      <c r="E947" s="267">
        <v>378</v>
      </c>
      <c r="F947" s="267"/>
      <c r="G947" s="267"/>
      <c r="H947" s="267"/>
      <c r="I947" s="287">
        <v>5</v>
      </c>
      <c r="J947" s="288">
        <f t="shared" si="205"/>
        <v>100</v>
      </c>
      <c r="K947" s="276" t="s">
        <v>1087</v>
      </c>
      <c r="L947" s="33">
        <v>1</v>
      </c>
      <c r="M947" s="157" t="s">
        <v>3137</v>
      </c>
      <c r="N947" s="157"/>
      <c r="O947" s="157" t="s">
        <v>598</v>
      </c>
      <c r="P947" s="163" t="s">
        <v>3139</v>
      </c>
    </row>
    <row r="948" s="92" customFormat="1" ht="20.1" customHeight="1" spans="1:16">
      <c r="A948" s="157" t="s">
        <v>3140</v>
      </c>
      <c r="B948" s="36" t="s">
        <v>849</v>
      </c>
      <c r="C948" s="267"/>
      <c r="D948" s="268">
        <f t="shared" si="204"/>
        <v>0</v>
      </c>
      <c r="E948" s="267"/>
      <c r="F948" s="267"/>
      <c r="G948" s="267"/>
      <c r="H948" s="267"/>
      <c r="I948" s="287"/>
      <c r="J948" s="288"/>
      <c r="K948" s="276" t="s">
        <v>1087</v>
      </c>
      <c r="L948" s="33">
        <v>1</v>
      </c>
      <c r="M948" s="157" t="s">
        <v>3140</v>
      </c>
      <c r="N948" s="157"/>
      <c r="O948" s="157" t="s">
        <v>598</v>
      </c>
      <c r="P948" s="36" t="s">
        <v>3141</v>
      </c>
    </row>
    <row r="949" s="92" customFormat="1" ht="20.1" customHeight="1" spans="1:16">
      <c r="A949" s="157" t="s">
        <v>3142</v>
      </c>
      <c r="B949" s="36" t="s">
        <v>3143</v>
      </c>
      <c r="C949" s="267"/>
      <c r="D949" s="268">
        <f t="shared" si="204"/>
        <v>0</v>
      </c>
      <c r="E949" s="267"/>
      <c r="F949" s="267"/>
      <c r="G949" s="267"/>
      <c r="H949" s="267"/>
      <c r="I949" s="287"/>
      <c r="J949" s="288"/>
      <c r="K949" s="276" t="s">
        <v>1087</v>
      </c>
      <c r="L949" s="33">
        <v>1</v>
      </c>
      <c r="M949" s="157" t="s">
        <v>3142</v>
      </c>
      <c r="N949" s="157"/>
      <c r="O949" s="157" t="s">
        <v>598</v>
      </c>
      <c r="P949" s="36" t="s">
        <v>3144</v>
      </c>
    </row>
    <row r="950" s="92" customFormat="1" ht="20.1" customHeight="1" spans="1:16">
      <c r="A950" s="157" t="s">
        <v>3145</v>
      </c>
      <c r="B950" s="36" t="s">
        <v>3146</v>
      </c>
      <c r="C950" s="267">
        <v>38</v>
      </c>
      <c r="D950" s="268">
        <f t="shared" si="204"/>
        <v>48</v>
      </c>
      <c r="E950" s="267">
        <v>40</v>
      </c>
      <c r="F950" s="267"/>
      <c r="G950" s="267">
        <v>5</v>
      </c>
      <c r="H950" s="267"/>
      <c r="I950" s="287">
        <v>3</v>
      </c>
      <c r="J950" s="288">
        <f t="shared" ref="J950:J1013" si="207">ROUND(IF(C950=0,IF(D950=0,0,1),IF(D950=0,-1,D950/C950)),4)*100</f>
        <v>126.32</v>
      </c>
      <c r="K950" s="276" t="s">
        <v>1087</v>
      </c>
      <c r="L950" s="33">
        <v>1</v>
      </c>
      <c r="M950" s="157" t="s">
        <v>3145</v>
      </c>
      <c r="N950" s="157"/>
      <c r="O950" s="157" t="s">
        <v>598</v>
      </c>
      <c r="P950" s="163" t="s">
        <v>3147</v>
      </c>
    </row>
    <row r="951" s="93" customFormat="1" ht="20.1" customHeight="1" spans="1:16">
      <c r="A951" s="263" t="s">
        <v>599</v>
      </c>
      <c r="B951" s="635" t="s">
        <v>3148</v>
      </c>
      <c r="C951" s="265">
        <f t="shared" ref="C951:I951" si="208">SUM(C952:C961)</f>
        <v>77182</v>
      </c>
      <c r="D951" s="265">
        <f t="shared" si="204"/>
        <v>46919</v>
      </c>
      <c r="E951" s="265">
        <f t="shared" si="208"/>
        <v>34884</v>
      </c>
      <c r="F951" s="265">
        <f t="shared" si="208"/>
        <v>0</v>
      </c>
      <c r="G951" s="265">
        <f t="shared" si="208"/>
        <v>7051</v>
      </c>
      <c r="H951" s="265">
        <f t="shared" si="208"/>
        <v>907</v>
      </c>
      <c r="I951" s="265">
        <f t="shared" si="208"/>
        <v>4077</v>
      </c>
      <c r="J951" s="298">
        <f t="shared" si="207"/>
        <v>60.79</v>
      </c>
      <c r="K951" s="284" t="s">
        <v>1082</v>
      </c>
      <c r="L951" s="285"/>
      <c r="M951" s="263" t="s">
        <v>599</v>
      </c>
      <c r="N951" s="263" t="s">
        <v>595</v>
      </c>
      <c r="O951" s="263" t="s">
        <v>599</v>
      </c>
      <c r="P951" s="286" t="s">
        <v>3149</v>
      </c>
    </row>
    <row r="952" s="253" customFormat="1" ht="20.1" customHeight="1" spans="1:17">
      <c r="A952" s="309" t="s">
        <v>3150</v>
      </c>
      <c r="B952" s="310" t="s">
        <v>1086</v>
      </c>
      <c r="C952" s="311">
        <v>1134</v>
      </c>
      <c r="D952" s="312">
        <f t="shared" si="204"/>
        <v>0</v>
      </c>
      <c r="E952" s="311"/>
      <c r="F952" s="311"/>
      <c r="G952" s="311"/>
      <c r="H952" s="311"/>
      <c r="I952" s="287"/>
      <c r="J952" s="313">
        <f t="shared" si="207"/>
        <v>-100</v>
      </c>
      <c r="K952" s="314" t="s">
        <v>1087</v>
      </c>
      <c r="L952" s="315">
        <v>1</v>
      </c>
      <c r="M952" s="309" t="s">
        <v>3150</v>
      </c>
      <c r="N952" s="309"/>
      <c r="O952" s="309" t="s">
        <v>599</v>
      </c>
      <c r="P952" s="316" t="s">
        <v>1088</v>
      </c>
      <c r="Q952" s="318" t="s">
        <v>3151</v>
      </c>
    </row>
    <row r="953" s="253" customFormat="1" ht="20.1" customHeight="1" spans="1:16">
      <c r="A953" s="309" t="s">
        <v>3152</v>
      </c>
      <c r="B953" s="310" t="s">
        <v>1090</v>
      </c>
      <c r="C953" s="311"/>
      <c r="D953" s="312">
        <f t="shared" si="204"/>
        <v>0</v>
      </c>
      <c r="E953" s="311"/>
      <c r="F953" s="311"/>
      <c r="G953" s="311"/>
      <c r="H953" s="311"/>
      <c r="I953" s="287"/>
      <c r="J953" s="313">
        <f t="shared" si="207"/>
        <v>0</v>
      </c>
      <c r="K953" s="314" t="s">
        <v>1087</v>
      </c>
      <c r="L953" s="315">
        <v>1</v>
      </c>
      <c r="M953" s="309" t="s">
        <v>3152</v>
      </c>
      <c r="N953" s="309"/>
      <c r="O953" s="309" t="s">
        <v>599</v>
      </c>
      <c r="P953" s="316" t="s">
        <v>1091</v>
      </c>
    </row>
    <row r="954" s="253" customFormat="1" ht="20.1" customHeight="1" spans="1:16">
      <c r="A954" s="309" t="s">
        <v>3153</v>
      </c>
      <c r="B954" s="310" t="s">
        <v>1093</v>
      </c>
      <c r="C954" s="311"/>
      <c r="D954" s="312">
        <f t="shared" si="204"/>
        <v>0</v>
      </c>
      <c r="E954" s="311"/>
      <c r="F954" s="311"/>
      <c r="G954" s="311"/>
      <c r="H954" s="311"/>
      <c r="I954" s="287"/>
      <c r="J954" s="313">
        <f t="shared" si="207"/>
        <v>0</v>
      </c>
      <c r="K954" s="314" t="s">
        <v>1087</v>
      </c>
      <c r="L954" s="315">
        <v>1</v>
      </c>
      <c r="M954" s="309" t="s">
        <v>3153</v>
      </c>
      <c r="N954" s="309"/>
      <c r="O954" s="309" t="s">
        <v>599</v>
      </c>
      <c r="P954" s="316" t="s">
        <v>1094</v>
      </c>
    </row>
    <row r="955" s="92" customFormat="1" ht="20.1" customHeight="1" spans="1:16">
      <c r="A955" s="157" t="s">
        <v>3154</v>
      </c>
      <c r="B955" s="36" t="s">
        <v>3155</v>
      </c>
      <c r="C955" s="267">
        <v>22818</v>
      </c>
      <c r="D955" s="268">
        <f t="shared" si="204"/>
        <v>18209</v>
      </c>
      <c r="E955" s="267">
        <f>45+15159</f>
        <v>15204</v>
      </c>
      <c r="F955" s="267"/>
      <c r="G955" s="267">
        <v>3005</v>
      </c>
      <c r="H955" s="267"/>
      <c r="I955" s="287"/>
      <c r="J955" s="288">
        <f t="shared" si="207"/>
        <v>79.8</v>
      </c>
      <c r="K955" s="276" t="s">
        <v>1087</v>
      </c>
      <c r="L955" s="33">
        <v>1</v>
      </c>
      <c r="M955" s="157" t="s">
        <v>3154</v>
      </c>
      <c r="N955" s="157"/>
      <c r="O955" s="157" t="s">
        <v>599</v>
      </c>
      <c r="P955" s="163" t="s">
        <v>3156</v>
      </c>
    </row>
    <row r="956" s="92" customFormat="1" ht="20.1" customHeight="1" spans="1:16">
      <c r="A956" s="157" t="s">
        <v>3157</v>
      </c>
      <c r="B956" s="36" t="s">
        <v>3158</v>
      </c>
      <c r="C956" s="267">
        <v>30461</v>
      </c>
      <c r="D956" s="268">
        <f t="shared" si="204"/>
        <v>18100</v>
      </c>
      <c r="E956" s="267">
        <v>17420</v>
      </c>
      <c r="F956" s="267"/>
      <c r="G956" s="267">
        <v>680</v>
      </c>
      <c r="H956" s="267"/>
      <c r="I956" s="287"/>
      <c r="J956" s="288">
        <f t="shared" si="207"/>
        <v>59.42</v>
      </c>
      <c r="K956" s="276" t="s">
        <v>1087</v>
      </c>
      <c r="L956" s="33">
        <v>1</v>
      </c>
      <c r="M956" s="157" t="s">
        <v>3157</v>
      </c>
      <c r="N956" s="157"/>
      <c r="O956" s="157" t="s">
        <v>599</v>
      </c>
      <c r="P956" s="163" t="s">
        <v>3159</v>
      </c>
    </row>
    <row r="957" s="92" customFormat="1" ht="20.1" customHeight="1" spans="1:16">
      <c r="A957" s="157" t="s">
        <v>3160</v>
      </c>
      <c r="B957" s="36" t="s">
        <v>3161</v>
      </c>
      <c r="C957" s="267">
        <v>1489</v>
      </c>
      <c r="D957" s="268">
        <f t="shared" si="204"/>
        <v>1000</v>
      </c>
      <c r="E957" s="267">
        <v>1000</v>
      </c>
      <c r="F957" s="267"/>
      <c r="G957" s="267"/>
      <c r="H957" s="267"/>
      <c r="I957" s="287"/>
      <c r="J957" s="288">
        <f t="shared" si="207"/>
        <v>67.16</v>
      </c>
      <c r="K957" s="276" t="s">
        <v>1087</v>
      </c>
      <c r="L957" s="33">
        <v>1</v>
      </c>
      <c r="M957" s="157" t="s">
        <v>3160</v>
      </c>
      <c r="N957" s="157"/>
      <c r="O957" s="157" t="s">
        <v>599</v>
      </c>
      <c r="P957" s="163" t="s">
        <v>3162</v>
      </c>
    </row>
    <row r="958" s="92" customFormat="1" ht="20.1" customHeight="1" spans="1:16">
      <c r="A958" s="157" t="s">
        <v>3163</v>
      </c>
      <c r="B958" s="36" t="s">
        <v>3164</v>
      </c>
      <c r="C958" s="267">
        <v>1591</v>
      </c>
      <c r="D958" s="268">
        <f t="shared" si="204"/>
        <v>26</v>
      </c>
      <c r="E958" s="267"/>
      <c r="F958" s="267"/>
      <c r="G958" s="267">
        <v>26</v>
      </c>
      <c r="H958" s="267"/>
      <c r="I958" s="287"/>
      <c r="J958" s="288">
        <f t="shared" si="207"/>
        <v>1.63</v>
      </c>
      <c r="K958" s="276" t="s">
        <v>1087</v>
      </c>
      <c r="L958" s="33">
        <v>1</v>
      </c>
      <c r="M958" s="157" t="s">
        <v>3163</v>
      </c>
      <c r="N958" s="157"/>
      <c r="O958" s="157" t="s">
        <v>599</v>
      </c>
      <c r="P958" s="163" t="s">
        <v>3165</v>
      </c>
    </row>
    <row r="959" s="92" customFormat="1" ht="20.1" customHeight="1" spans="1:16">
      <c r="A959" s="157" t="s">
        <v>3166</v>
      </c>
      <c r="B959" s="36" t="s">
        <v>3167</v>
      </c>
      <c r="C959" s="267"/>
      <c r="D959" s="268">
        <f t="shared" si="204"/>
        <v>0</v>
      </c>
      <c r="E959" s="267"/>
      <c r="F959" s="267"/>
      <c r="G959" s="267"/>
      <c r="H959" s="267"/>
      <c r="I959" s="287"/>
      <c r="J959" s="288">
        <f t="shared" si="207"/>
        <v>0</v>
      </c>
      <c r="K959" s="276" t="s">
        <v>1087</v>
      </c>
      <c r="L959" s="33">
        <v>1</v>
      </c>
      <c r="M959" s="157" t="s">
        <v>3166</v>
      </c>
      <c r="N959" s="157"/>
      <c r="O959" s="157" t="s">
        <v>599</v>
      </c>
      <c r="P959" s="163" t="s">
        <v>3168</v>
      </c>
    </row>
    <row r="960" s="253" customFormat="1" ht="20.1" customHeight="1" spans="1:17">
      <c r="A960" s="309" t="s">
        <v>3169</v>
      </c>
      <c r="B960" s="310" t="s">
        <v>1114</v>
      </c>
      <c r="C960" s="311">
        <v>80</v>
      </c>
      <c r="D960" s="312">
        <f t="shared" si="204"/>
        <v>0</v>
      </c>
      <c r="E960" s="311"/>
      <c r="F960" s="311"/>
      <c r="G960" s="311"/>
      <c r="H960" s="311"/>
      <c r="I960" s="287"/>
      <c r="J960" s="313">
        <f t="shared" si="207"/>
        <v>-100</v>
      </c>
      <c r="K960" s="314" t="s">
        <v>1087</v>
      </c>
      <c r="L960" s="315">
        <v>1</v>
      </c>
      <c r="M960" s="309" t="s">
        <v>3169</v>
      </c>
      <c r="N960" s="309"/>
      <c r="O960" s="309" t="s">
        <v>599</v>
      </c>
      <c r="P960" s="317" t="s">
        <v>3170</v>
      </c>
      <c r="Q960" s="319" t="s">
        <v>3151</v>
      </c>
    </row>
    <row r="961" s="92" customFormat="1" ht="20.1" customHeight="1" spans="1:16">
      <c r="A961" s="157" t="s">
        <v>3171</v>
      </c>
      <c r="B961" s="36" t="s">
        <v>3172</v>
      </c>
      <c r="C961" s="267">
        <v>19609</v>
      </c>
      <c r="D961" s="268">
        <f t="shared" si="204"/>
        <v>9584</v>
      </c>
      <c r="E961" s="267">
        <v>1260</v>
      </c>
      <c r="F961" s="267"/>
      <c r="G961" s="267">
        <v>3340</v>
      </c>
      <c r="H961" s="267">
        <v>907</v>
      </c>
      <c r="I961" s="287">
        <v>4077</v>
      </c>
      <c r="J961" s="288">
        <f t="shared" si="207"/>
        <v>48.88</v>
      </c>
      <c r="K961" s="276" t="s">
        <v>1087</v>
      </c>
      <c r="L961" s="33">
        <v>1</v>
      </c>
      <c r="M961" s="157" t="s">
        <v>3171</v>
      </c>
      <c r="N961" s="157"/>
      <c r="O961" s="157" t="s">
        <v>599</v>
      </c>
      <c r="P961" s="163" t="s">
        <v>3173</v>
      </c>
    </row>
    <row r="962" s="93" customFormat="1" ht="20.1" customHeight="1" spans="1:16">
      <c r="A962" s="263" t="s">
        <v>601</v>
      </c>
      <c r="B962" s="297" t="s">
        <v>3174</v>
      </c>
      <c r="C962" s="265">
        <f t="shared" ref="C962:I962" si="209">SUM(C963:C967)</f>
        <v>5045</v>
      </c>
      <c r="D962" s="265">
        <f t="shared" si="204"/>
        <v>9065</v>
      </c>
      <c r="E962" s="265">
        <f t="shared" si="209"/>
        <v>0</v>
      </c>
      <c r="F962" s="265">
        <f t="shared" si="209"/>
        <v>699</v>
      </c>
      <c r="G962" s="265">
        <f t="shared" si="209"/>
        <v>3518</v>
      </c>
      <c r="H962" s="265">
        <f t="shared" si="209"/>
        <v>0</v>
      </c>
      <c r="I962" s="265">
        <f t="shared" si="209"/>
        <v>4848</v>
      </c>
      <c r="J962" s="298">
        <f t="shared" si="207"/>
        <v>179.68</v>
      </c>
      <c r="K962" s="284" t="s">
        <v>1082</v>
      </c>
      <c r="L962" s="285"/>
      <c r="M962" s="263" t="s">
        <v>601</v>
      </c>
      <c r="N962" s="263" t="s">
        <v>595</v>
      </c>
      <c r="O962" s="263" t="s">
        <v>601</v>
      </c>
      <c r="P962" s="286" t="s">
        <v>3175</v>
      </c>
    </row>
    <row r="963" s="92" customFormat="1" ht="20.1" customHeight="1" spans="1:16">
      <c r="A963" s="157" t="s">
        <v>3176</v>
      </c>
      <c r="B963" s="36" t="s">
        <v>3177</v>
      </c>
      <c r="C963" s="267">
        <v>1121</v>
      </c>
      <c r="D963" s="268">
        <f t="shared" si="204"/>
        <v>4184</v>
      </c>
      <c r="E963" s="267"/>
      <c r="F963" s="267">
        <v>693</v>
      </c>
      <c r="G963" s="267">
        <v>3393</v>
      </c>
      <c r="H963" s="267"/>
      <c r="I963" s="287">
        <v>98</v>
      </c>
      <c r="J963" s="288">
        <f t="shared" si="207"/>
        <v>373.24</v>
      </c>
      <c r="K963" s="276" t="s">
        <v>1087</v>
      </c>
      <c r="L963" s="33">
        <v>1</v>
      </c>
      <c r="M963" s="157" t="s">
        <v>3176</v>
      </c>
      <c r="N963" s="157"/>
      <c r="O963" s="157" t="s">
        <v>601</v>
      </c>
      <c r="P963" s="163" t="s">
        <v>3178</v>
      </c>
    </row>
    <row r="964" s="92" customFormat="1" ht="20.1" customHeight="1" spans="1:16">
      <c r="A964" s="157" t="s">
        <v>3179</v>
      </c>
      <c r="B964" s="36" t="s">
        <v>3180</v>
      </c>
      <c r="C964" s="267">
        <v>3923</v>
      </c>
      <c r="D964" s="268">
        <f t="shared" si="204"/>
        <v>4750</v>
      </c>
      <c r="E964" s="267"/>
      <c r="F964" s="267"/>
      <c r="G964" s="267"/>
      <c r="H964" s="267"/>
      <c r="I964" s="287">
        <v>4750</v>
      </c>
      <c r="J964" s="288">
        <f t="shared" si="207"/>
        <v>121.08</v>
      </c>
      <c r="K964" s="276" t="s">
        <v>1087</v>
      </c>
      <c r="L964" s="33">
        <v>1</v>
      </c>
      <c r="M964" s="157" t="s">
        <v>3179</v>
      </c>
      <c r="N964" s="157"/>
      <c r="O964" s="157" t="s">
        <v>601</v>
      </c>
      <c r="P964" s="163" t="s">
        <v>3181</v>
      </c>
    </row>
    <row r="965" s="92" customFormat="1" ht="20.1" customHeight="1" spans="1:16">
      <c r="A965" s="157" t="s">
        <v>3182</v>
      </c>
      <c r="B965" s="36" t="s">
        <v>3183</v>
      </c>
      <c r="C965" s="267"/>
      <c r="D965" s="268">
        <f t="shared" si="204"/>
        <v>0</v>
      </c>
      <c r="E965" s="267"/>
      <c r="F965" s="267"/>
      <c r="G965" s="267"/>
      <c r="H965" s="267"/>
      <c r="I965" s="287"/>
      <c r="J965" s="288">
        <f t="shared" si="207"/>
        <v>0</v>
      </c>
      <c r="K965" s="276" t="s">
        <v>1087</v>
      </c>
      <c r="L965" s="33">
        <v>1</v>
      </c>
      <c r="M965" s="157" t="s">
        <v>3182</v>
      </c>
      <c r="N965" s="157"/>
      <c r="O965" s="157" t="s">
        <v>601</v>
      </c>
      <c r="P965" s="163" t="s">
        <v>3184</v>
      </c>
    </row>
    <row r="966" s="92" customFormat="1" ht="20.1" customHeight="1" spans="1:16">
      <c r="A966" s="157" t="s">
        <v>3185</v>
      </c>
      <c r="B966" s="36" t="s">
        <v>3186</v>
      </c>
      <c r="C966" s="267"/>
      <c r="D966" s="268">
        <f t="shared" ref="D966:D1029" si="210">SUM(E966:I966)</f>
        <v>112</v>
      </c>
      <c r="E966" s="267"/>
      <c r="F966" s="267"/>
      <c r="G966" s="267">
        <v>112</v>
      </c>
      <c r="H966" s="267"/>
      <c r="I966" s="287"/>
      <c r="J966" s="288">
        <f t="shared" si="207"/>
        <v>100</v>
      </c>
      <c r="K966" s="276" t="s">
        <v>1087</v>
      </c>
      <c r="L966" s="33">
        <v>1</v>
      </c>
      <c r="M966" s="157" t="s">
        <v>3185</v>
      </c>
      <c r="N966" s="157"/>
      <c r="O966" s="157" t="s">
        <v>601</v>
      </c>
      <c r="P966" s="163" t="s">
        <v>3187</v>
      </c>
    </row>
    <row r="967" s="92" customFormat="1" ht="20.1" customHeight="1" spans="1:16">
      <c r="A967" s="157" t="s">
        <v>3188</v>
      </c>
      <c r="B967" s="36" t="s">
        <v>3189</v>
      </c>
      <c r="C967" s="267">
        <v>1</v>
      </c>
      <c r="D967" s="268">
        <f t="shared" si="210"/>
        <v>19</v>
      </c>
      <c r="E967" s="267"/>
      <c r="F967" s="267">
        <v>6</v>
      </c>
      <c r="G967" s="267">
        <v>13</v>
      </c>
      <c r="H967" s="267"/>
      <c r="I967" s="287"/>
      <c r="J967" s="288">
        <f t="shared" si="207"/>
        <v>1900</v>
      </c>
      <c r="K967" s="276" t="s">
        <v>1087</v>
      </c>
      <c r="L967" s="33">
        <v>1</v>
      </c>
      <c r="M967" s="157" t="s">
        <v>3188</v>
      </c>
      <c r="N967" s="157"/>
      <c r="O967" s="157" t="s">
        <v>601</v>
      </c>
      <c r="P967" s="163" t="s">
        <v>3190</v>
      </c>
    </row>
    <row r="968" s="93" customFormat="1" ht="20.1" customHeight="1" spans="1:16">
      <c r="A968" s="263" t="s">
        <v>602</v>
      </c>
      <c r="B968" s="297" t="s">
        <v>3191</v>
      </c>
      <c r="C968" s="265">
        <f t="shared" ref="C968:I968" si="211">SUM(C969:C973)</f>
        <v>478</v>
      </c>
      <c r="D968" s="265">
        <f t="shared" si="210"/>
        <v>953</v>
      </c>
      <c r="E968" s="265">
        <f t="shared" si="211"/>
        <v>860</v>
      </c>
      <c r="F968" s="265">
        <f t="shared" si="211"/>
        <v>0</v>
      </c>
      <c r="G968" s="265">
        <f t="shared" si="211"/>
        <v>93</v>
      </c>
      <c r="H968" s="265">
        <f t="shared" si="211"/>
        <v>0</v>
      </c>
      <c r="I968" s="265">
        <f t="shared" si="211"/>
        <v>0</v>
      </c>
      <c r="J968" s="298">
        <f t="shared" si="207"/>
        <v>199.37</v>
      </c>
      <c r="K968" s="284" t="s">
        <v>1082</v>
      </c>
      <c r="L968" s="285"/>
      <c r="M968" s="263" t="s">
        <v>602</v>
      </c>
      <c r="N968" s="263" t="s">
        <v>595</v>
      </c>
      <c r="O968" s="263" t="s">
        <v>602</v>
      </c>
      <c r="P968" s="286" t="s">
        <v>3192</v>
      </c>
    </row>
    <row r="969" s="92" customFormat="1" ht="20.1" customHeight="1" spans="1:16">
      <c r="A969" s="157" t="s">
        <v>3193</v>
      </c>
      <c r="B969" s="36" t="s">
        <v>3194</v>
      </c>
      <c r="C969" s="320"/>
      <c r="D969" s="268">
        <f t="shared" si="210"/>
        <v>0</v>
      </c>
      <c r="E969" s="267"/>
      <c r="F969" s="267"/>
      <c r="G969" s="267"/>
      <c r="H969" s="267"/>
      <c r="I969" s="287"/>
      <c r="J969" s="288">
        <f t="shared" si="207"/>
        <v>0</v>
      </c>
      <c r="K969" s="276" t="s">
        <v>1087</v>
      </c>
      <c r="L969" s="33">
        <v>1</v>
      </c>
      <c r="M969" s="157" t="s">
        <v>3193</v>
      </c>
      <c r="N969" s="157"/>
      <c r="O969" s="157" t="s">
        <v>602</v>
      </c>
      <c r="P969" s="163" t="s">
        <v>3195</v>
      </c>
    </row>
    <row r="970" s="92" customFormat="1" ht="20.1" customHeight="1" spans="1:16">
      <c r="A970" s="157" t="s">
        <v>3196</v>
      </c>
      <c r="B970" s="36" t="s">
        <v>3197</v>
      </c>
      <c r="C970" s="320">
        <v>478</v>
      </c>
      <c r="D970" s="268">
        <f t="shared" si="210"/>
        <v>860</v>
      </c>
      <c r="E970" s="267">
        <v>860</v>
      </c>
      <c r="F970" s="267"/>
      <c r="G970" s="267"/>
      <c r="H970" s="267"/>
      <c r="I970" s="287"/>
      <c r="J970" s="288">
        <f t="shared" si="207"/>
        <v>179.92</v>
      </c>
      <c r="K970" s="276" t="s">
        <v>1087</v>
      </c>
      <c r="L970" s="33">
        <v>1</v>
      </c>
      <c r="M970" s="157" t="s">
        <v>3196</v>
      </c>
      <c r="N970" s="157"/>
      <c r="O970" s="157" t="s">
        <v>602</v>
      </c>
      <c r="P970" s="163" t="s">
        <v>3198</v>
      </c>
    </row>
    <row r="971" s="92" customFormat="1" ht="20.1" customHeight="1" spans="1:16">
      <c r="A971" s="157" t="s">
        <v>3199</v>
      </c>
      <c r="B971" s="36" t="s">
        <v>3200</v>
      </c>
      <c r="C971" s="320"/>
      <c r="D971" s="268">
        <f t="shared" si="210"/>
        <v>93</v>
      </c>
      <c r="E971" s="267"/>
      <c r="F971" s="267"/>
      <c r="G971" s="267">
        <v>93</v>
      </c>
      <c r="H971" s="267"/>
      <c r="I971" s="287"/>
      <c r="J971" s="288">
        <f t="shared" si="207"/>
        <v>100</v>
      </c>
      <c r="K971" s="276" t="s">
        <v>1087</v>
      </c>
      <c r="L971" s="33">
        <v>1</v>
      </c>
      <c r="M971" s="157" t="s">
        <v>3199</v>
      </c>
      <c r="N971" s="157"/>
      <c r="O971" s="157" t="s">
        <v>602</v>
      </c>
      <c r="P971" s="163" t="s">
        <v>3201</v>
      </c>
    </row>
    <row r="972" s="92" customFormat="1" ht="20.1" customHeight="1" spans="1:16">
      <c r="A972" s="157" t="s">
        <v>3202</v>
      </c>
      <c r="B972" s="36" t="s">
        <v>3203</v>
      </c>
      <c r="C972" s="320"/>
      <c r="D972" s="268">
        <f t="shared" si="210"/>
        <v>0</v>
      </c>
      <c r="E972" s="267"/>
      <c r="F972" s="267"/>
      <c r="G972" s="267"/>
      <c r="H972" s="267"/>
      <c r="I972" s="287"/>
      <c r="J972" s="288">
        <f t="shared" si="207"/>
        <v>0</v>
      </c>
      <c r="K972" s="276" t="s">
        <v>1087</v>
      </c>
      <c r="L972" s="33">
        <v>1</v>
      </c>
      <c r="M972" s="157" t="s">
        <v>3202</v>
      </c>
      <c r="N972" s="157"/>
      <c r="O972" s="157" t="s">
        <v>602</v>
      </c>
      <c r="P972" s="163" t="s">
        <v>3204</v>
      </c>
    </row>
    <row r="973" s="92" customFormat="1" ht="20.1" customHeight="1" spans="1:16">
      <c r="A973" s="157" t="s">
        <v>3205</v>
      </c>
      <c r="B973" s="36" t="s">
        <v>3206</v>
      </c>
      <c r="C973" s="267">
        <v>0</v>
      </c>
      <c r="D973" s="268">
        <f t="shared" si="210"/>
        <v>0</v>
      </c>
      <c r="E973" s="267"/>
      <c r="F973" s="267"/>
      <c r="G973" s="267"/>
      <c r="H973" s="267"/>
      <c r="I973" s="287"/>
      <c r="J973" s="288">
        <f t="shared" si="207"/>
        <v>0</v>
      </c>
      <c r="K973" s="276" t="s">
        <v>1087</v>
      </c>
      <c r="L973" s="33">
        <v>1</v>
      </c>
      <c r="M973" s="157" t="s">
        <v>3205</v>
      </c>
      <c r="N973" s="157"/>
      <c r="O973" s="157" t="s">
        <v>602</v>
      </c>
      <c r="P973" s="163" t="s">
        <v>3207</v>
      </c>
    </row>
    <row r="974" s="93" customFormat="1" ht="20.1" customHeight="1" spans="1:16">
      <c r="A974" s="263" t="s">
        <v>603</v>
      </c>
      <c r="B974" s="297" t="s">
        <v>3208</v>
      </c>
      <c r="C974" s="265">
        <f t="shared" ref="C974:I974" si="212">SUM(C975:C976)</f>
        <v>1</v>
      </c>
      <c r="D974" s="265">
        <f t="shared" si="210"/>
        <v>0</v>
      </c>
      <c r="E974" s="265">
        <f t="shared" si="212"/>
        <v>0</v>
      </c>
      <c r="F974" s="265">
        <f t="shared" si="212"/>
        <v>0</v>
      </c>
      <c r="G974" s="265">
        <f t="shared" si="212"/>
        <v>0</v>
      </c>
      <c r="H974" s="265">
        <f t="shared" si="212"/>
        <v>0</v>
      </c>
      <c r="I974" s="265">
        <f t="shared" si="212"/>
        <v>0</v>
      </c>
      <c r="J974" s="298">
        <f t="shared" si="207"/>
        <v>-100</v>
      </c>
      <c r="K974" s="284" t="s">
        <v>1082</v>
      </c>
      <c r="L974" s="285"/>
      <c r="M974" s="263" t="s">
        <v>603</v>
      </c>
      <c r="N974" s="263" t="s">
        <v>595</v>
      </c>
      <c r="O974" s="263" t="s">
        <v>603</v>
      </c>
      <c r="P974" s="286" t="s">
        <v>3209</v>
      </c>
    </row>
    <row r="975" s="92" customFormat="1" ht="20.1" customHeight="1" spans="1:16">
      <c r="A975" s="157" t="s">
        <v>3210</v>
      </c>
      <c r="B975" s="36" t="s">
        <v>3211</v>
      </c>
      <c r="C975" s="267">
        <v>0</v>
      </c>
      <c r="D975" s="268">
        <f t="shared" si="210"/>
        <v>0</v>
      </c>
      <c r="E975" s="267"/>
      <c r="F975" s="267"/>
      <c r="G975" s="267"/>
      <c r="H975" s="267"/>
      <c r="I975" s="287"/>
      <c r="J975" s="288">
        <f t="shared" si="207"/>
        <v>0</v>
      </c>
      <c r="K975" s="276" t="s">
        <v>1087</v>
      </c>
      <c r="L975" s="33">
        <v>1</v>
      </c>
      <c r="M975" s="157" t="s">
        <v>3210</v>
      </c>
      <c r="N975" s="157"/>
      <c r="O975" s="157" t="s">
        <v>603</v>
      </c>
      <c r="P975" s="163" t="s">
        <v>3212</v>
      </c>
    </row>
    <row r="976" s="92" customFormat="1" ht="20.1" customHeight="1" spans="1:16">
      <c r="A976" s="157" t="s">
        <v>3213</v>
      </c>
      <c r="B976" s="36" t="s">
        <v>3214</v>
      </c>
      <c r="C976" s="267">
        <v>1</v>
      </c>
      <c r="D976" s="268">
        <f t="shared" si="210"/>
        <v>0</v>
      </c>
      <c r="E976" s="267"/>
      <c r="F976" s="267"/>
      <c r="G976" s="267"/>
      <c r="H976" s="267"/>
      <c r="I976" s="287"/>
      <c r="J976" s="288">
        <f t="shared" si="207"/>
        <v>-100</v>
      </c>
      <c r="K976" s="276" t="s">
        <v>1087</v>
      </c>
      <c r="L976" s="33">
        <v>1</v>
      </c>
      <c r="M976" s="157" t="s">
        <v>3213</v>
      </c>
      <c r="N976" s="157"/>
      <c r="O976" s="157" t="s">
        <v>603</v>
      </c>
      <c r="P976" s="163" t="s">
        <v>3215</v>
      </c>
    </row>
    <row r="977" s="93" customFormat="1" ht="20.1" customHeight="1" spans="1:16">
      <c r="A977" s="263" t="s">
        <v>604</v>
      </c>
      <c r="B977" s="297" t="s">
        <v>3216</v>
      </c>
      <c r="C977" s="265">
        <f t="shared" ref="C977:I977" si="213">SUM(C978:C979)</f>
        <v>1706</v>
      </c>
      <c r="D977" s="265">
        <f t="shared" si="210"/>
        <v>18122</v>
      </c>
      <c r="E977" s="265">
        <f t="shared" si="213"/>
        <v>0</v>
      </c>
      <c r="F977" s="265">
        <f t="shared" si="213"/>
        <v>0</v>
      </c>
      <c r="G977" s="265">
        <f t="shared" si="213"/>
        <v>18122</v>
      </c>
      <c r="H977" s="265">
        <f t="shared" si="213"/>
        <v>0</v>
      </c>
      <c r="I977" s="265">
        <f t="shared" si="213"/>
        <v>0</v>
      </c>
      <c r="J977" s="298">
        <f t="shared" si="207"/>
        <v>1062.25</v>
      </c>
      <c r="K977" s="284" t="s">
        <v>1082</v>
      </c>
      <c r="L977" s="285"/>
      <c r="M977" s="263" t="s">
        <v>604</v>
      </c>
      <c r="N977" s="263" t="s">
        <v>595</v>
      </c>
      <c r="O977" s="263" t="s">
        <v>604</v>
      </c>
      <c r="P977" s="286" t="s">
        <v>3217</v>
      </c>
    </row>
    <row r="978" s="92" customFormat="1" ht="20.1" customHeight="1" spans="1:16">
      <c r="A978" s="157" t="s">
        <v>3218</v>
      </c>
      <c r="B978" s="36" t="s">
        <v>3219</v>
      </c>
      <c r="C978" s="267">
        <v>0</v>
      </c>
      <c r="D978" s="268">
        <f t="shared" si="210"/>
        <v>0</v>
      </c>
      <c r="E978" s="267"/>
      <c r="F978" s="267"/>
      <c r="G978" s="267"/>
      <c r="H978" s="267"/>
      <c r="I978" s="287"/>
      <c r="J978" s="288">
        <f t="shared" si="207"/>
        <v>0</v>
      </c>
      <c r="K978" s="276" t="s">
        <v>1087</v>
      </c>
      <c r="L978" s="33">
        <v>1</v>
      </c>
      <c r="M978" s="157" t="s">
        <v>3218</v>
      </c>
      <c r="N978" s="157"/>
      <c r="O978" s="157" t="s">
        <v>604</v>
      </c>
      <c r="P978" s="163" t="s">
        <v>3220</v>
      </c>
    </row>
    <row r="979" s="92" customFormat="1" ht="20.1" customHeight="1" spans="1:16">
      <c r="A979" s="157" t="s">
        <v>3221</v>
      </c>
      <c r="B979" s="36" t="s">
        <v>366</v>
      </c>
      <c r="C979" s="267">
        <v>1706</v>
      </c>
      <c r="D979" s="268">
        <f t="shared" si="210"/>
        <v>18122</v>
      </c>
      <c r="E979" s="267"/>
      <c r="F979" s="267"/>
      <c r="G979" s="267">
        <f>13742+4380</f>
        <v>18122</v>
      </c>
      <c r="H979" s="267"/>
      <c r="I979" s="287"/>
      <c r="J979" s="288">
        <f t="shared" si="207"/>
        <v>1062.25</v>
      </c>
      <c r="K979" s="276" t="s">
        <v>1087</v>
      </c>
      <c r="L979" s="33">
        <v>1</v>
      </c>
      <c r="M979" s="157" t="s">
        <v>3221</v>
      </c>
      <c r="N979" s="157"/>
      <c r="O979" s="157" t="s">
        <v>604</v>
      </c>
      <c r="P979" s="163" t="s">
        <v>3217</v>
      </c>
    </row>
    <row r="980" s="93" customFormat="1" ht="20.1" customHeight="1" spans="1:16">
      <c r="A980" s="154" t="s">
        <v>605</v>
      </c>
      <c r="B980" s="261" t="s">
        <v>367</v>
      </c>
      <c r="C980" s="262">
        <f t="shared" ref="C980:I980" si="214">C981+C1002+C1012+C1022+C1029</f>
        <v>2003</v>
      </c>
      <c r="D980" s="262">
        <f t="shared" si="210"/>
        <v>18242</v>
      </c>
      <c r="E980" s="262">
        <f t="shared" si="214"/>
        <v>791</v>
      </c>
      <c r="F980" s="262">
        <f t="shared" si="214"/>
        <v>85</v>
      </c>
      <c r="G980" s="262">
        <f t="shared" si="214"/>
        <v>14560</v>
      </c>
      <c r="H980" s="262">
        <f t="shared" si="214"/>
        <v>0</v>
      </c>
      <c r="I980" s="262">
        <f t="shared" si="214"/>
        <v>2806</v>
      </c>
      <c r="J980" s="279">
        <f t="shared" si="207"/>
        <v>910.73</v>
      </c>
      <c r="K980" s="280" t="s">
        <v>1081</v>
      </c>
      <c r="L980" s="281"/>
      <c r="M980" s="154" t="s">
        <v>605</v>
      </c>
      <c r="N980" s="154" t="s">
        <v>605</v>
      </c>
      <c r="O980" s="154" t="s">
        <v>605</v>
      </c>
      <c r="P980" s="282" t="s">
        <v>3222</v>
      </c>
    </row>
    <row r="981" s="93" customFormat="1" ht="20.1" customHeight="1" spans="1:16">
      <c r="A981" s="263" t="s">
        <v>606</v>
      </c>
      <c r="B981" s="297" t="s">
        <v>3223</v>
      </c>
      <c r="C981" s="265">
        <f t="shared" ref="C981:I981" si="215">SUM(C982:C1001)</f>
        <v>1651</v>
      </c>
      <c r="D981" s="265">
        <f t="shared" si="210"/>
        <v>18102</v>
      </c>
      <c r="E981" s="265">
        <f t="shared" si="215"/>
        <v>791</v>
      </c>
      <c r="F981" s="265">
        <f t="shared" si="215"/>
        <v>85</v>
      </c>
      <c r="G981" s="265">
        <f t="shared" si="215"/>
        <v>14428</v>
      </c>
      <c r="H981" s="265">
        <f t="shared" si="215"/>
        <v>0</v>
      </c>
      <c r="I981" s="265">
        <f t="shared" si="215"/>
        <v>2798</v>
      </c>
      <c r="J981" s="298">
        <f t="shared" si="207"/>
        <v>1096.43</v>
      </c>
      <c r="K981" s="284" t="s">
        <v>1082</v>
      </c>
      <c r="L981" s="285"/>
      <c r="M981" s="263" t="s">
        <v>606</v>
      </c>
      <c r="N981" s="263" t="s">
        <v>605</v>
      </c>
      <c r="O981" s="263" t="s">
        <v>606</v>
      </c>
      <c r="P981" s="286" t="s">
        <v>3224</v>
      </c>
    </row>
    <row r="982" s="92" customFormat="1" ht="20.1" customHeight="1" spans="1:16">
      <c r="A982" s="157" t="s">
        <v>3225</v>
      </c>
      <c r="B982" s="36" t="s">
        <v>1086</v>
      </c>
      <c r="C982" s="267">
        <v>414</v>
      </c>
      <c r="D982" s="268">
        <f t="shared" si="210"/>
        <v>372</v>
      </c>
      <c r="E982" s="267"/>
      <c r="F982" s="267"/>
      <c r="G982" s="267"/>
      <c r="H982" s="267"/>
      <c r="I982" s="287">
        <v>372</v>
      </c>
      <c r="J982" s="288">
        <f t="shared" si="207"/>
        <v>89.86</v>
      </c>
      <c r="K982" s="276" t="s">
        <v>1087</v>
      </c>
      <c r="L982" s="33">
        <v>1</v>
      </c>
      <c r="M982" s="157" t="s">
        <v>3225</v>
      </c>
      <c r="N982" s="157"/>
      <c r="O982" s="157" t="s">
        <v>606</v>
      </c>
      <c r="P982" s="164" t="s">
        <v>1088</v>
      </c>
    </row>
    <row r="983" s="92" customFormat="1" ht="20.1" customHeight="1" spans="1:16">
      <c r="A983" s="157" t="s">
        <v>3226</v>
      </c>
      <c r="B983" s="36" t="s">
        <v>1090</v>
      </c>
      <c r="C983" s="267"/>
      <c r="D983" s="268">
        <f t="shared" si="210"/>
        <v>0</v>
      </c>
      <c r="E983" s="267"/>
      <c r="F983" s="267"/>
      <c r="G983" s="267"/>
      <c r="H983" s="267"/>
      <c r="I983" s="287"/>
      <c r="J983" s="288">
        <f t="shared" si="207"/>
        <v>0</v>
      </c>
      <c r="K983" s="276" t="s">
        <v>1087</v>
      </c>
      <c r="L983" s="33">
        <v>1</v>
      </c>
      <c r="M983" s="157" t="s">
        <v>3226</v>
      </c>
      <c r="N983" s="157"/>
      <c r="O983" s="157" t="s">
        <v>606</v>
      </c>
      <c r="P983" s="164" t="s">
        <v>1091</v>
      </c>
    </row>
    <row r="984" s="92" customFormat="1" ht="20.1" customHeight="1" spans="1:16">
      <c r="A984" s="157" t="s">
        <v>3227</v>
      </c>
      <c r="B984" s="36" t="s">
        <v>1093</v>
      </c>
      <c r="C984" s="267"/>
      <c r="D984" s="268">
        <f t="shared" si="210"/>
        <v>0</v>
      </c>
      <c r="E984" s="267"/>
      <c r="F984" s="267"/>
      <c r="G984" s="267"/>
      <c r="H984" s="267"/>
      <c r="I984" s="287"/>
      <c r="J984" s="288">
        <f t="shared" si="207"/>
        <v>0</v>
      </c>
      <c r="K984" s="276" t="s">
        <v>1087</v>
      </c>
      <c r="L984" s="33">
        <v>1</v>
      </c>
      <c r="M984" s="157" t="s">
        <v>3227</v>
      </c>
      <c r="N984" s="157"/>
      <c r="O984" s="157" t="s">
        <v>606</v>
      </c>
      <c r="P984" s="164" t="s">
        <v>1094</v>
      </c>
    </row>
    <row r="985" s="92" customFormat="1" ht="20.1" customHeight="1" spans="1:16">
      <c r="A985" s="157" t="s">
        <v>3228</v>
      </c>
      <c r="B985" s="36" t="s">
        <v>867</v>
      </c>
      <c r="C985" s="267">
        <v>343</v>
      </c>
      <c r="D985" s="268">
        <f t="shared" si="210"/>
        <v>5930</v>
      </c>
      <c r="E985" s="267"/>
      <c r="F985" s="267">
        <v>85</v>
      </c>
      <c r="G985" s="267">
        <v>5845</v>
      </c>
      <c r="H985" s="267"/>
      <c r="I985" s="287"/>
      <c r="J985" s="288">
        <f t="shared" si="207"/>
        <v>1728.86</v>
      </c>
      <c r="K985" s="276" t="s">
        <v>1087</v>
      </c>
      <c r="L985" s="33">
        <v>1</v>
      </c>
      <c r="M985" s="157" t="s">
        <v>3228</v>
      </c>
      <c r="N985" s="157"/>
      <c r="O985" s="157" t="s">
        <v>606</v>
      </c>
      <c r="P985" s="163" t="s">
        <v>3229</v>
      </c>
    </row>
    <row r="986" s="92" customFormat="1" ht="20.1" customHeight="1" spans="1:16">
      <c r="A986" s="157" t="s">
        <v>3230</v>
      </c>
      <c r="B986" s="36" t="s">
        <v>868</v>
      </c>
      <c r="C986" s="267">
        <v>519</v>
      </c>
      <c r="D986" s="268">
        <f t="shared" si="210"/>
        <v>5150</v>
      </c>
      <c r="E986" s="267">
        <v>791</v>
      </c>
      <c r="F986" s="267"/>
      <c r="G986" s="267">
        <v>2006</v>
      </c>
      <c r="H986" s="267"/>
      <c r="I986" s="287">
        <v>2353</v>
      </c>
      <c r="J986" s="288">
        <f t="shared" si="207"/>
        <v>992.29</v>
      </c>
      <c r="K986" s="276" t="s">
        <v>1087</v>
      </c>
      <c r="L986" s="33">
        <v>1</v>
      </c>
      <c r="M986" s="157" t="s">
        <v>3230</v>
      </c>
      <c r="N986" s="157"/>
      <c r="O986" s="157" t="s">
        <v>606</v>
      </c>
      <c r="P986" s="164" t="s">
        <v>3231</v>
      </c>
    </row>
    <row r="987" s="92" customFormat="1" ht="20.1" customHeight="1" spans="1:16">
      <c r="A987" s="157" t="s">
        <v>3232</v>
      </c>
      <c r="B987" s="36" t="s">
        <v>3233</v>
      </c>
      <c r="C987" s="267">
        <v>1</v>
      </c>
      <c r="D987" s="268">
        <f t="shared" si="210"/>
        <v>0</v>
      </c>
      <c r="E987" s="267"/>
      <c r="F987" s="267"/>
      <c r="G987" s="267"/>
      <c r="H987" s="267"/>
      <c r="I987" s="287"/>
      <c r="J987" s="288">
        <f t="shared" si="207"/>
        <v>-100</v>
      </c>
      <c r="K987" s="276" t="s">
        <v>1087</v>
      </c>
      <c r="L987" s="33">
        <v>1</v>
      </c>
      <c r="M987" s="157" t="s">
        <v>3232</v>
      </c>
      <c r="N987" s="157"/>
      <c r="O987" s="157" t="s">
        <v>606</v>
      </c>
      <c r="P987" s="163" t="s">
        <v>3234</v>
      </c>
    </row>
    <row r="988" s="92" customFormat="1" ht="20.1" customHeight="1" spans="1:16">
      <c r="A988" s="157" t="s">
        <v>3235</v>
      </c>
      <c r="B988" s="36" t="s">
        <v>3236</v>
      </c>
      <c r="C988" s="267">
        <v>133</v>
      </c>
      <c r="D988" s="268">
        <f t="shared" si="210"/>
        <v>7</v>
      </c>
      <c r="E988" s="267"/>
      <c r="F988" s="267"/>
      <c r="G988" s="267">
        <v>7</v>
      </c>
      <c r="H988" s="267"/>
      <c r="I988" s="287"/>
      <c r="J988" s="288">
        <f t="shared" si="207"/>
        <v>5.26</v>
      </c>
      <c r="K988" s="276" t="s">
        <v>1087</v>
      </c>
      <c r="L988" s="33">
        <v>1</v>
      </c>
      <c r="M988" s="157" t="s">
        <v>3235</v>
      </c>
      <c r="N988" s="157"/>
      <c r="O988" s="157" t="s">
        <v>606</v>
      </c>
      <c r="P988" s="163" t="s">
        <v>3237</v>
      </c>
    </row>
    <row r="989" s="92" customFormat="1" ht="20.1" customHeight="1" spans="1:16">
      <c r="A989" s="157" t="s">
        <v>3238</v>
      </c>
      <c r="B989" s="36" t="s">
        <v>3239</v>
      </c>
      <c r="C989" s="267"/>
      <c r="D989" s="268">
        <f t="shared" si="210"/>
        <v>10</v>
      </c>
      <c r="E989" s="267"/>
      <c r="F989" s="267"/>
      <c r="G989" s="267"/>
      <c r="H989" s="267"/>
      <c r="I989" s="287">
        <v>10</v>
      </c>
      <c r="J989" s="288">
        <f t="shared" si="207"/>
        <v>100</v>
      </c>
      <c r="K989" s="276" t="s">
        <v>1087</v>
      </c>
      <c r="L989" s="33">
        <v>1</v>
      </c>
      <c r="M989" s="157" t="s">
        <v>3238</v>
      </c>
      <c r="N989" s="157"/>
      <c r="O989" s="157" t="s">
        <v>606</v>
      </c>
      <c r="P989" s="163" t="s">
        <v>3240</v>
      </c>
    </row>
    <row r="990" s="92" customFormat="1" ht="20.1" customHeight="1" spans="1:16">
      <c r="A990" s="157" t="s">
        <v>3241</v>
      </c>
      <c r="B990" s="36" t="s">
        <v>3242</v>
      </c>
      <c r="C990" s="267"/>
      <c r="D990" s="268">
        <f t="shared" si="210"/>
        <v>0</v>
      </c>
      <c r="E990" s="267"/>
      <c r="F990" s="267"/>
      <c r="G990" s="267"/>
      <c r="H990" s="267"/>
      <c r="I990" s="287"/>
      <c r="J990" s="288">
        <f t="shared" si="207"/>
        <v>0</v>
      </c>
      <c r="K990" s="276" t="s">
        <v>1087</v>
      </c>
      <c r="L990" s="33">
        <v>1</v>
      </c>
      <c r="M990" s="157" t="s">
        <v>3241</v>
      </c>
      <c r="N990" s="157"/>
      <c r="O990" s="157" t="s">
        <v>606</v>
      </c>
      <c r="P990" s="163" t="s">
        <v>3243</v>
      </c>
    </row>
    <row r="991" s="92" customFormat="1" ht="20.1" customHeight="1" spans="1:16">
      <c r="A991" s="157" t="s">
        <v>3244</v>
      </c>
      <c r="B991" s="36" t="s">
        <v>3245</v>
      </c>
      <c r="C991" s="267"/>
      <c r="D991" s="268">
        <f t="shared" si="210"/>
        <v>0</v>
      </c>
      <c r="E991" s="267"/>
      <c r="F991" s="267"/>
      <c r="G991" s="267"/>
      <c r="H991" s="267"/>
      <c r="I991" s="287"/>
      <c r="J991" s="288">
        <f t="shared" si="207"/>
        <v>0</v>
      </c>
      <c r="K991" s="276" t="s">
        <v>1087</v>
      </c>
      <c r="L991" s="33">
        <v>1</v>
      </c>
      <c r="M991" s="157" t="s">
        <v>3244</v>
      </c>
      <c r="N991" s="157"/>
      <c r="O991" s="157" t="s">
        <v>606</v>
      </c>
      <c r="P991" s="164" t="s">
        <v>3246</v>
      </c>
    </row>
    <row r="992" s="92" customFormat="1" ht="20.1" customHeight="1" spans="1:16">
      <c r="A992" s="157" t="s">
        <v>3247</v>
      </c>
      <c r="B992" s="36" t="s">
        <v>3248</v>
      </c>
      <c r="C992" s="267"/>
      <c r="D992" s="268">
        <f t="shared" si="210"/>
        <v>0</v>
      </c>
      <c r="E992" s="267"/>
      <c r="F992" s="267"/>
      <c r="G992" s="267"/>
      <c r="H992" s="267"/>
      <c r="I992" s="287"/>
      <c r="J992" s="288">
        <f t="shared" si="207"/>
        <v>0</v>
      </c>
      <c r="K992" s="276" t="s">
        <v>1087</v>
      </c>
      <c r="L992" s="33">
        <v>1</v>
      </c>
      <c r="M992" s="157" t="s">
        <v>3247</v>
      </c>
      <c r="N992" s="157"/>
      <c r="O992" s="157" t="s">
        <v>606</v>
      </c>
      <c r="P992" s="163" t="s">
        <v>3249</v>
      </c>
    </row>
    <row r="993" s="92" customFormat="1" ht="20.1" customHeight="1" spans="1:16">
      <c r="A993" s="157" t="s">
        <v>3250</v>
      </c>
      <c r="B993" s="36" t="s">
        <v>3251</v>
      </c>
      <c r="C993" s="267"/>
      <c r="D993" s="268">
        <f t="shared" si="210"/>
        <v>4</v>
      </c>
      <c r="E993" s="267"/>
      <c r="F993" s="267"/>
      <c r="G993" s="267"/>
      <c r="H993" s="267"/>
      <c r="I993" s="287">
        <v>4</v>
      </c>
      <c r="J993" s="288">
        <f t="shared" si="207"/>
        <v>100</v>
      </c>
      <c r="K993" s="276" t="s">
        <v>1087</v>
      </c>
      <c r="L993" s="33">
        <v>1</v>
      </c>
      <c r="M993" s="157" t="s">
        <v>3250</v>
      </c>
      <c r="N993" s="157"/>
      <c r="O993" s="157" t="s">
        <v>606</v>
      </c>
      <c r="P993" s="163" t="s">
        <v>3252</v>
      </c>
    </row>
    <row r="994" s="92" customFormat="1" ht="20.1" customHeight="1" spans="1:16">
      <c r="A994" s="157" t="s">
        <v>3253</v>
      </c>
      <c r="B994" s="36" t="s">
        <v>3254</v>
      </c>
      <c r="C994" s="267"/>
      <c r="D994" s="268">
        <f t="shared" si="210"/>
        <v>0</v>
      </c>
      <c r="E994" s="267"/>
      <c r="F994" s="267"/>
      <c r="G994" s="267"/>
      <c r="H994" s="267"/>
      <c r="I994" s="287"/>
      <c r="J994" s="288">
        <f t="shared" si="207"/>
        <v>0</v>
      </c>
      <c r="K994" s="276" t="s">
        <v>1087</v>
      </c>
      <c r="L994" s="33">
        <v>1</v>
      </c>
      <c r="M994" s="157" t="s">
        <v>3253</v>
      </c>
      <c r="N994" s="157"/>
      <c r="O994" s="157" t="s">
        <v>606</v>
      </c>
      <c r="P994" s="163" t="s">
        <v>3255</v>
      </c>
    </row>
    <row r="995" s="92" customFormat="1" ht="20.1" customHeight="1" spans="1:16">
      <c r="A995" s="157" t="s">
        <v>3256</v>
      </c>
      <c r="B995" s="36" t="s">
        <v>3257</v>
      </c>
      <c r="C995" s="267"/>
      <c r="D995" s="268">
        <f t="shared" si="210"/>
        <v>0</v>
      </c>
      <c r="E995" s="267"/>
      <c r="F995" s="267"/>
      <c r="G995" s="267"/>
      <c r="H995" s="267"/>
      <c r="I995" s="287"/>
      <c r="J995" s="288">
        <f t="shared" si="207"/>
        <v>0</v>
      </c>
      <c r="K995" s="276" t="s">
        <v>1087</v>
      </c>
      <c r="L995" s="33">
        <v>1</v>
      </c>
      <c r="M995" s="157" t="s">
        <v>3256</v>
      </c>
      <c r="N995" s="157"/>
      <c r="O995" s="157" t="s">
        <v>606</v>
      </c>
      <c r="P995" s="163" t="s">
        <v>3258</v>
      </c>
    </row>
    <row r="996" s="92" customFormat="1" ht="20.1" customHeight="1" spans="1:16">
      <c r="A996" s="157" t="s">
        <v>3259</v>
      </c>
      <c r="B996" s="36" t="s">
        <v>3260</v>
      </c>
      <c r="C996" s="267"/>
      <c r="D996" s="268">
        <f t="shared" si="210"/>
        <v>0</v>
      </c>
      <c r="E996" s="267"/>
      <c r="F996" s="267"/>
      <c r="G996" s="267"/>
      <c r="H996" s="267"/>
      <c r="I996" s="287"/>
      <c r="J996" s="288">
        <f t="shared" si="207"/>
        <v>0</v>
      </c>
      <c r="K996" s="276" t="s">
        <v>1087</v>
      </c>
      <c r="L996" s="33">
        <v>1</v>
      </c>
      <c r="M996" s="157" t="s">
        <v>3259</v>
      </c>
      <c r="N996" s="157"/>
      <c r="O996" s="157" t="s">
        <v>606</v>
      </c>
      <c r="P996" s="163" t="s">
        <v>3261</v>
      </c>
    </row>
    <row r="997" s="92" customFormat="1" ht="20.1" customHeight="1" spans="1:16">
      <c r="A997" s="157" t="s">
        <v>3262</v>
      </c>
      <c r="B997" s="36" t="s">
        <v>3263</v>
      </c>
      <c r="C997" s="267"/>
      <c r="D997" s="268">
        <f t="shared" si="210"/>
        <v>0</v>
      </c>
      <c r="E997" s="267"/>
      <c r="F997" s="267"/>
      <c r="G997" s="267"/>
      <c r="H997" s="267"/>
      <c r="I997" s="287"/>
      <c r="J997" s="288">
        <f t="shared" si="207"/>
        <v>0</v>
      </c>
      <c r="K997" s="276" t="s">
        <v>1087</v>
      </c>
      <c r="L997" s="33">
        <v>1</v>
      </c>
      <c r="M997" s="157" t="s">
        <v>3262</v>
      </c>
      <c r="N997" s="157"/>
      <c r="O997" s="157" t="s">
        <v>606</v>
      </c>
      <c r="P997" s="163" t="s">
        <v>3264</v>
      </c>
    </row>
    <row r="998" s="92" customFormat="1" ht="20.1" customHeight="1" spans="1:16">
      <c r="A998" s="157" t="s">
        <v>3265</v>
      </c>
      <c r="B998" s="36" t="s">
        <v>3266</v>
      </c>
      <c r="C998" s="267"/>
      <c r="D998" s="268">
        <f t="shared" si="210"/>
        <v>0</v>
      </c>
      <c r="E998" s="267"/>
      <c r="F998" s="267"/>
      <c r="G998" s="267"/>
      <c r="H998" s="267"/>
      <c r="I998" s="287"/>
      <c r="J998" s="288">
        <f t="shared" si="207"/>
        <v>0</v>
      </c>
      <c r="K998" s="276" t="s">
        <v>1087</v>
      </c>
      <c r="L998" s="33">
        <v>1</v>
      </c>
      <c r="M998" s="157" t="s">
        <v>3265</v>
      </c>
      <c r="N998" s="157"/>
      <c r="O998" s="157" t="s">
        <v>606</v>
      </c>
      <c r="P998" s="163" t="s">
        <v>3267</v>
      </c>
    </row>
    <row r="999" s="92" customFormat="1" ht="20.1" customHeight="1" spans="1:16">
      <c r="A999" s="157" t="s">
        <v>3268</v>
      </c>
      <c r="B999" s="36" t="s">
        <v>3269</v>
      </c>
      <c r="C999" s="267"/>
      <c r="D999" s="268">
        <f t="shared" si="210"/>
        <v>0</v>
      </c>
      <c r="E999" s="267"/>
      <c r="F999" s="267"/>
      <c r="G999" s="267"/>
      <c r="H999" s="267"/>
      <c r="I999" s="287"/>
      <c r="J999" s="288">
        <f t="shared" si="207"/>
        <v>0</v>
      </c>
      <c r="K999" s="276" t="s">
        <v>1087</v>
      </c>
      <c r="L999" s="33">
        <v>1</v>
      </c>
      <c r="M999" s="157" t="s">
        <v>3268</v>
      </c>
      <c r="N999" s="157"/>
      <c r="O999" s="157" t="s">
        <v>606</v>
      </c>
      <c r="P999" s="163" t="s">
        <v>3270</v>
      </c>
    </row>
    <row r="1000" s="92" customFormat="1" ht="20.1" customHeight="1" spans="1:16">
      <c r="A1000" s="157" t="s">
        <v>3271</v>
      </c>
      <c r="B1000" s="36" t="s">
        <v>3272</v>
      </c>
      <c r="C1000" s="267"/>
      <c r="D1000" s="268">
        <f t="shared" si="210"/>
        <v>0</v>
      </c>
      <c r="E1000" s="267"/>
      <c r="F1000" s="267"/>
      <c r="G1000" s="267"/>
      <c r="H1000" s="267"/>
      <c r="I1000" s="287"/>
      <c r="J1000" s="288">
        <f t="shared" si="207"/>
        <v>0</v>
      </c>
      <c r="K1000" s="276" t="s">
        <v>1087</v>
      </c>
      <c r="L1000" s="33">
        <v>1</v>
      </c>
      <c r="M1000" s="157" t="s">
        <v>3271</v>
      </c>
      <c r="N1000" s="157"/>
      <c r="O1000" s="157" t="s">
        <v>606</v>
      </c>
      <c r="P1000" s="163" t="s">
        <v>3273</v>
      </c>
    </row>
    <row r="1001" s="92" customFormat="1" ht="20.1" customHeight="1" spans="1:16">
      <c r="A1001" s="157" t="s">
        <v>3274</v>
      </c>
      <c r="B1001" s="36" t="s">
        <v>3275</v>
      </c>
      <c r="C1001" s="267">
        <v>241</v>
      </c>
      <c r="D1001" s="268">
        <f t="shared" si="210"/>
        <v>6629</v>
      </c>
      <c r="E1001" s="267"/>
      <c r="F1001" s="267"/>
      <c r="G1001" s="267">
        <f>6258+312</f>
        <v>6570</v>
      </c>
      <c r="H1001" s="267"/>
      <c r="I1001" s="287">
        <v>59</v>
      </c>
      <c r="J1001" s="288">
        <f t="shared" si="207"/>
        <v>2750.62</v>
      </c>
      <c r="K1001" s="276" t="s">
        <v>1087</v>
      </c>
      <c r="L1001" s="33">
        <v>1</v>
      </c>
      <c r="M1001" s="157" t="s">
        <v>3274</v>
      </c>
      <c r="N1001" s="157"/>
      <c r="O1001" s="157" t="s">
        <v>606</v>
      </c>
      <c r="P1001" s="163" t="s">
        <v>3276</v>
      </c>
    </row>
    <row r="1002" s="93" customFormat="1" ht="20.1" customHeight="1" spans="1:16">
      <c r="A1002" s="263" t="s">
        <v>607</v>
      </c>
      <c r="B1002" s="297" t="s">
        <v>3277</v>
      </c>
      <c r="C1002" s="265">
        <f t="shared" ref="C1002:I1002" si="216">SUM(C1003:C1011)</f>
        <v>0</v>
      </c>
      <c r="D1002" s="265">
        <f t="shared" si="210"/>
        <v>8</v>
      </c>
      <c r="E1002" s="265">
        <f t="shared" si="216"/>
        <v>0</v>
      </c>
      <c r="F1002" s="265">
        <f t="shared" si="216"/>
        <v>0</v>
      </c>
      <c r="G1002" s="265">
        <f t="shared" si="216"/>
        <v>0</v>
      </c>
      <c r="H1002" s="265">
        <f t="shared" si="216"/>
        <v>0</v>
      </c>
      <c r="I1002" s="265">
        <f t="shared" si="216"/>
        <v>8</v>
      </c>
      <c r="J1002" s="298">
        <f t="shared" si="207"/>
        <v>100</v>
      </c>
      <c r="K1002" s="284" t="s">
        <v>1082</v>
      </c>
      <c r="L1002" s="285"/>
      <c r="M1002" s="263" t="s">
        <v>607</v>
      </c>
      <c r="N1002" s="263" t="s">
        <v>605</v>
      </c>
      <c r="O1002" s="263" t="s">
        <v>607</v>
      </c>
      <c r="P1002" s="286" t="s">
        <v>3278</v>
      </c>
    </row>
    <row r="1003" s="92" customFormat="1" ht="20.1" customHeight="1" spans="1:16">
      <c r="A1003" s="157" t="s">
        <v>3279</v>
      </c>
      <c r="B1003" s="36" t="s">
        <v>1086</v>
      </c>
      <c r="C1003" s="267"/>
      <c r="D1003" s="268">
        <f t="shared" si="210"/>
        <v>8</v>
      </c>
      <c r="E1003" s="267"/>
      <c r="F1003" s="267"/>
      <c r="G1003" s="267"/>
      <c r="H1003" s="267"/>
      <c r="I1003" s="287">
        <v>8</v>
      </c>
      <c r="J1003" s="288">
        <f t="shared" si="207"/>
        <v>100</v>
      </c>
      <c r="K1003" s="276" t="s">
        <v>1087</v>
      </c>
      <c r="L1003" s="33">
        <v>1</v>
      </c>
      <c r="M1003" s="157" t="s">
        <v>3279</v>
      </c>
      <c r="N1003" s="157"/>
      <c r="O1003" s="157" t="s">
        <v>607</v>
      </c>
      <c r="P1003" s="164" t="s">
        <v>1088</v>
      </c>
    </row>
    <row r="1004" s="92" customFormat="1" ht="20.1" customHeight="1" spans="1:16">
      <c r="A1004" s="157" t="s">
        <v>3280</v>
      </c>
      <c r="B1004" s="36" t="s">
        <v>1090</v>
      </c>
      <c r="C1004" s="267"/>
      <c r="D1004" s="268">
        <f t="shared" si="210"/>
        <v>0</v>
      </c>
      <c r="E1004" s="267"/>
      <c r="F1004" s="267"/>
      <c r="G1004" s="267"/>
      <c r="H1004" s="267"/>
      <c r="I1004" s="287"/>
      <c r="J1004" s="288">
        <f t="shared" si="207"/>
        <v>0</v>
      </c>
      <c r="K1004" s="276" t="s">
        <v>1087</v>
      </c>
      <c r="L1004" s="33">
        <v>1</v>
      </c>
      <c r="M1004" s="157" t="s">
        <v>3280</v>
      </c>
      <c r="N1004" s="157"/>
      <c r="O1004" s="157" t="s">
        <v>607</v>
      </c>
      <c r="P1004" s="164" t="s">
        <v>1091</v>
      </c>
    </row>
    <row r="1005" s="92" customFormat="1" ht="20.1" customHeight="1" spans="1:16">
      <c r="A1005" s="157" t="s">
        <v>3281</v>
      </c>
      <c r="B1005" s="36" t="s">
        <v>1093</v>
      </c>
      <c r="C1005" s="267">
        <v>0</v>
      </c>
      <c r="D1005" s="268">
        <f t="shared" si="210"/>
        <v>0</v>
      </c>
      <c r="E1005" s="267"/>
      <c r="F1005" s="267"/>
      <c r="G1005" s="267"/>
      <c r="H1005" s="267"/>
      <c r="I1005" s="287"/>
      <c r="J1005" s="288">
        <f t="shared" si="207"/>
        <v>0</v>
      </c>
      <c r="K1005" s="276" t="s">
        <v>1087</v>
      </c>
      <c r="L1005" s="33">
        <v>1</v>
      </c>
      <c r="M1005" s="157" t="s">
        <v>3281</v>
      </c>
      <c r="N1005" s="157"/>
      <c r="O1005" s="157" t="s">
        <v>607</v>
      </c>
      <c r="P1005" s="164" t="s">
        <v>1094</v>
      </c>
    </row>
    <row r="1006" s="92" customFormat="1" ht="20.1" customHeight="1" spans="1:16">
      <c r="A1006" s="157" t="s">
        <v>3282</v>
      </c>
      <c r="B1006" s="36" t="s">
        <v>3283</v>
      </c>
      <c r="C1006" s="267">
        <v>0</v>
      </c>
      <c r="D1006" s="268">
        <f t="shared" si="210"/>
        <v>0</v>
      </c>
      <c r="E1006" s="267"/>
      <c r="F1006" s="267"/>
      <c r="G1006" s="267"/>
      <c r="H1006" s="267"/>
      <c r="I1006" s="287"/>
      <c r="J1006" s="288">
        <f t="shared" si="207"/>
        <v>0</v>
      </c>
      <c r="K1006" s="276" t="s">
        <v>1087</v>
      </c>
      <c r="L1006" s="33">
        <v>1</v>
      </c>
      <c r="M1006" s="157" t="s">
        <v>3282</v>
      </c>
      <c r="N1006" s="157"/>
      <c r="O1006" s="157" t="s">
        <v>607</v>
      </c>
      <c r="P1006" s="163" t="s">
        <v>3284</v>
      </c>
    </row>
    <row r="1007" s="92" customFormat="1" ht="20.1" customHeight="1" spans="1:16">
      <c r="A1007" s="157" t="s">
        <v>3285</v>
      </c>
      <c r="B1007" s="36" t="s">
        <v>3286</v>
      </c>
      <c r="C1007" s="267">
        <v>0</v>
      </c>
      <c r="D1007" s="268">
        <f t="shared" si="210"/>
        <v>0</v>
      </c>
      <c r="E1007" s="267"/>
      <c r="F1007" s="267"/>
      <c r="G1007" s="267"/>
      <c r="H1007" s="267"/>
      <c r="I1007" s="287"/>
      <c r="J1007" s="288">
        <f t="shared" si="207"/>
        <v>0</v>
      </c>
      <c r="K1007" s="276" t="s">
        <v>1087</v>
      </c>
      <c r="L1007" s="33">
        <v>1</v>
      </c>
      <c r="M1007" s="157" t="s">
        <v>3285</v>
      </c>
      <c r="N1007" s="157"/>
      <c r="O1007" s="157" t="s">
        <v>607</v>
      </c>
      <c r="P1007" s="163" t="s">
        <v>3287</v>
      </c>
    </row>
    <row r="1008" s="92" customFormat="1" ht="20.1" customHeight="1" spans="1:16">
      <c r="A1008" s="157" t="s">
        <v>3288</v>
      </c>
      <c r="B1008" s="36" t="s">
        <v>3289</v>
      </c>
      <c r="C1008" s="267">
        <v>0</v>
      </c>
      <c r="D1008" s="268">
        <f t="shared" si="210"/>
        <v>0</v>
      </c>
      <c r="E1008" s="267"/>
      <c r="F1008" s="267"/>
      <c r="G1008" s="267"/>
      <c r="H1008" s="267"/>
      <c r="I1008" s="287"/>
      <c r="J1008" s="288">
        <f t="shared" si="207"/>
        <v>0</v>
      </c>
      <c r="K1008" s="276" t="s">
        <v>1087</v>
      </c>
      <c r="L1008" s="33">
        <v>1</v>
      </c>
      <c r="M1008" s="157" t="s">
        <v>3288</v>
      </c>
      <c r="N1008" s="157"/>
      <c r="O1008" s="157" t="s">
        <v>607</v>
      </c>
      <c r="P1008" s="163" t="s">
        <v>3290</v>
      </c>
    </row>
    <row r="1009" s="92" customFormat="1" ht="20.1" customHeight="1" spans="1:16">
      <c r="A1009" s="157" t="s">
        <v>3291</v>
      </c>
      <c r="B1009" s="36" t="s">
        <v>3292</v>
      </c>
      <c r="C1009" s="267">
        <v>0</v>
      </c>
      <c r="D1009" s="268">
        <f t="shared" si="210"/>
        <v>0</v>
      </c>
      <c r="E1009" s="267"/>
      <c r="F1009" s="267"/>
      <c r="G1009" s="267"/>
      <c r="H1009" s="267"/>
      <c r="I1009" s="287"/>
      <c r="J1009" s="288">
        <f t="shared" si="207"/>
        <v>0</v>
      </c>
      <c r="K1009" s="276" t="s">
        <v>1087</v>
      </c>
      <c r="L1009" s="33">
        <v>1</v>
      </c>
      <c r="M1009" s="157" t="s">
        <v>3291</v>
      </c>
      <c r="N1009" s="157"/>
      <c r="O1009" s="157" t="s">
        <v>607</v>
      </c>
      <c r="P1009" s="163" t="s">
        <v>3293</v>
      </c>
    </row>
    <row r="1010" s="92" customFormat="1" ht="20.1" customHeight="1" spans="1:16">
      <c r="A1010" s="157" t="s">
        <v>3294</v>
      </c>
      <c r="B1010" s="36" t="s">
        <v>3295</v>
      </c>
      <c r="C1010" s="267">
        <v>0</v>
      </c>
      <c r="D1010" s="268">
        <f t="shared" si="210"/>
        <v>0</v>
      </c>
      <c r="E1010" s="267"/>
      <c r="F1010" s="267"/>
      <c r="G1010" s="267"/>
      <c r="H1010" s="267"/>
      <c r="I1010" s="287"/>
      <c r="J1010" s="288">
        <f t="shared" si="207"/>
        <v>0</v>
      </c>
      <c r="K1010" s="276" t="s">
        <v>1087</v>
      </c>
      <c r="L1010" s="33">
        <v>1</v>
      </c>
      <c r="M1010" s="157" t="s">
        <v>3294</v>
      </c>
      <c r="N1010" s="157"/>
      <c r="O1010" s="157" t="s">
        <v>607</v>
      </c>
      <c r="P1010" s="163" t="s">
        <v>3296</v>
      </c>
    </row>
    <row r="1011" s="92" customFormat="1" ht="20.1" customHeight="1" spans="1:16">
      <c r="A1011" s="157" t="s">
        <v>3297</v>
      </c>
      <c r="B1011" s="36" t="s">
        <v>3298</v>
      </c>
      <c r="C1011" s="267">
        <v>0</v>
      </c>
      <c r="D1011" s="268">
        <f t="shared" si="210"/>
        <v>0</v>
      </c>
      <c r="E1011" s="267"/>
      <c r="F1011" s="267"/>
      <c r="G1011" s="267"/>
      <c r="H1011" s="267"/>
      <c r="I1011" s="287"/>
      <c r="J1011" s="288">
        <f t="shared" si="207"/>
        <v>0</v>
      </c>
      <c r="K1011" s="276" t="s">
        <v>1087</v>
      </c>
      <c r="L1011" s="33">
        <v>1</v>
      </c>
      <c r="M1011" s="157" t="s">
        <v>3297</v>
      </c>
      <c r="N1011" s="157"/>
      <c r="O1011" s="157" t="s">
        <v>607</v>
      </c>
      <c r="P1011" s="163" t="s">
        <v>3299</v>
      </c>
    </row>
    <row r="1012" s="93" customFormat="1" ht="20.1" customHeight="1" spans="1:16">
      <c r="A1012" s="263" t="s">
        <v>608</v>
      </c>
      <c r="B1012" s="297" t="s">
        <v>3300</v>
      </c>
      <c r="C1012" s="265">
        <v>0</v>
      </c>
      <c r="D1012" s="265">
        <f t="shared" si="210"/>
        <v>0</v>
      </c>
      <c r="E1012" s="265">
        <f t="shared" ref="E1012:H1012" si="217">SUM(E1013:E1021)</f>
        <v>0</v>
      </c>
      <c r="F1012" s="265">
        <f t="shared" si="217"/>
        <v>0</v>
      </c>
      <c r="G1012" s="265">
        <f>VLOOKUP(A1012,[1]√表四、2024年公共财政支出变动表!$A$7:$R$214,18,FALSE)</f>
        <v>0</v>
      </c>
      <c r="H1012" s="265">
        <f t="shared" si="217"/>
        <v>0</v>
      </c>
      <c r="I1012" s="265"/>
      <c r="J1012" s="298">
        <f t="shared" si="207"/>
        <v>0</v>
      </c>
      <c r="K1012" s="284" t="s">
        <v>1082</v>
      </c>
      <c r="L1012" s="285"/>
      <c r="M1012" s="263" t="s">
        <v>608</v>
      </c>
      <c r="N1012" s="263" t="s">
        <v>605</v>
      </c>
      <c r="O1012" s="263" t="s">
        <v>608</v>
      </c>
      <c r="P1012" s="286" t="s">
        <v>3301</v>
      </c>
    </row>
    <row r="1013" s="92" customFormat="1" ht="20.1" customHeight="1" spans="1:16">
      <c r="A1013" s="157" t="s">
        <v>3302</v>
      </c>
      <c r="B1013" s="36" t="s">
        <v>1086</v>
      </c>
      <c r="C1013" s="267">
        <v>0</v>
      </c>
      <c r="D1013" s="268">
        <f t="shared" si="210"/>
        <v>0</v>
      </c>
      <c r="E1013" s="267"/>
      <c r="F1013" s="267"/>
      <c r="G1013" s="267"/>
      <c r="H1013" s="267"/>
      <c r="I1013" s="287"/>
      <c r="J1013" s="288">
        <f t="shared" si="207"/>
        <v>0</v>
      </c>
      <c r="K1013" s="276" t="s">
        <v>1087</v>
      </c>
      <c r="L1013" s="33">
        <v>1</v>
      </c>
      <c r="M1013" s="157" t="s">
        <v>3302</v>
      </c>
      <c r="N1013" s="157"/>
      <c r="O1013" s="157" t="s">
        <v>608</v>
      </c>
      <c r="P1013" s="164" t="s">
        <v>1088</v>
      </c>
    </row>
    <row r="1014" s="92" customFormat="1" ht="20.1" customHeight="1" spans="1:16">
      <c r="A1014" s="157" t="s">
        <v>3303</v>
      </c>
      <c r="B1014" s="36" t="s">
        <v>1090</v>
      </c>
      <c r="C1014" s="267">
        <v>0</v>
      </c>
      <c r="D1014" s="268">
        <f t="shared" si="210"/>
        <v>0</v>
      </c>
      <c r="E1014" s="267"/>
      <c r="F1014" s="267"/>
      <c r="G1014" s="267"/>
      <c r="H1014" s="267"/>
      <c r="I1014" s="287"/>
      <c r="J1014" s="288">
        <f t="shared" ref="J1014:J1077" si="218">ROUND(IF(C1014=0,IF(D1014=0,0,1),IF(D1014=0,-1,D1014/C1014)),4)*100</f>
        <v>0</v>
      </c>
      <c r="K1014" s="276" t="s">
        <v>1087</v>
      </c>
      <c r="L1014" s="33">
        <v>1</v>
      </c>
      <c r="M1014" s="157" t="s">
        <v>3303</v>
      </c>
      <c r="N1014" s="157"/>
      <c r="O1014" s="157" t="s">
        <v>608</v>
      </c>
      <c r="P1014" s="164" t="s">
        <v>1091</v>
      </c>
    </row>
    <row r="1015" s="92" customFormat="1" ht="20.1" customHeight="1" spans="1:16">
      <c r="A1015" s="157" t="s">
        <v>3304</v>
      </c>
      <c r="B1015" s="36" t="s">
        <v>1093</v>
      </c>
      <c r="C1015" s="267">
        <v>0</v>
      </c>
      <c r="D1015" s="268">
        <f t="shared" si="210"/>
        <v>0</v>
      </c>
      <c r="E1015" s="267"/>
      <c r="F1015" s="267"/>
      <c r="G1015" s="267"/>
      <c r="H1015" s="267"/>
      <c r="I1015" s="287"/>
      <c r="J1015" s="288">
        <f t="shared" si="218"/>
        <v>0</v>
      </c>
      <c r="K1015" s="276" t="s">
        <v>1087</v>
      </c>
      <c r="L1015" s="33">
        <v>1</v>
      </c>
      <c r="M1015" s="157" t="s">
        <v>3304</v>
      </c>
      <c r="N1015" s="157"/>
      <c r="O1015" s="157" t="s">
        <v>608</v>
      </c>
      <c r="P1015" s="164" t="s">
        <v>1094</v>
      </c>
    </row>
    <row r="1016" s="92" customFormat="1" ht="20.1" customHeight="1" spans="1:16">
      <c r="A1016" s="157" t="s">
        <v>3305</v>
      </c>
      <c r="B1016" s="36" t="s">
        <v>3306</v>
      </c>
      <c r="C1016" s="267">
        <v>0</v>
      </c>
      <c r="D1016" s="268">
        <f t="shared" si="210"/>
        <v>0</v>
      </c>
      <c r="E1016" s="267"/>
      <c r="F1016" s="267"/>
      <c r="G1016" s="267"/>
      <c r="H1016" s="267"/>
      <c r="I1016" s="287"/>
      <c r="J1016" s="288">
        <f t="shared" si="218"/>
        <v>0</v>
      </c>
      <c r="K1016" s="276" t="s">
        <v>1087</v>
      </c>
      <c r="L1016" s="33">
        <v>1</v>
      </c>
      <c r="M1016" s="157" t="s">
        <v>3305</v>
      </c>
      <c r="N1016" s="157"/>
      <c r="O1016" s="157" t="s">
        <v>608</v>
      </c>
      <c r="P1016" s="163" t="s">
        <v>3307</v>
      </c>
    </row>
    <row r="1017" s="92" customFormat="1" ht="20.1" customHeight="1" spans="1:16">
      <c r="A1017" s="157" t="s">
        <v>3308</v>
      </c>
      <c r="B1017" s="36" t="s">
        <v>893</v>
      </c>
      <c r="C1017" s="267">
        <v>0</v>
      </c>
      <c r="D1017" s="268">
        <f t="shared" si="210"/>
        <v>0</v>
      </c>
      <c r="E1017" s="267"/>
      <c r="F1017" s="267"/>
      <c r="G1017" s="267"/>
      <c r="H1017" s="267"/>
      <c r="I1017" s="287"/>
      <c r="J1017" s="288">
        <f t="shared" si="218"/>
        <v>0</v>
      </c>
      <c r="K1017" s="276" t="s">
        <v>1087</v>
      </c>
      <c r="L1017" s="33">
        <v>1</v>
      </c>
      <c r="M1017" s="157" t="s">
        <v>3308</v>
      </c>
      <c r="N1017" s="157"/>
      <c r="O1017" s="157" t="s">
        <v>608</v>
      </c>
      <c r="P1017" s="164" t="s">
        <v>3309</v>
      </c>
    </row>
    <row r="1018" s="92" customFormat="1" ht="20.1" customHeight="1" spans="1:16">
      <c r="A1018" s="157" t="s">
        <v>3310</v>
      </c>
      <c r="B1018" s="36" t="s">
        <v>3311</v>
      </c>
      <c r="C1018" s="267">
        <v>0</v>
      </c>
      <c r="D1018" s="268">
        <f t="shared" si="210"/>
        <v>0</v>
      </c>
      <c r="E1018" s="267"/>
      <c r="F1018" s="267"/>
      <c r="G1018" s="267"/>
      <c r="H1018" s="267"/>
      <c r="I1018" s="287"/>
      <c r="J1018" s="288">
        <f t="shared" si="218"/>
        <v>0</v>
      </c>
      <c r="K1018" s="276" t="s">
        <v>1087</v>
      </c>
      <c r="L1018" s="33">
        <v>1</v>
      </c>
      <c r="M1018" s="157" t="s">
        <v>3310</v>
      </c>
      <c r="N1018" s="157"/>
      <c r="O1018" s="157" t="s">
        <v>608</v>
      </c>
      <c r="P1018" s="163" t="s">
        <v>3312</v>
      </c>
    </row>
    <row r="1019" s="92" customFormat="1" ht="20.1" customHeight="1" spans="1:16">
      <c r="A1019" s="157" t="s">
        <v>3313</v>
      </c>
      <c r="B1019" s="36" t="s">
        <v>3314</v>
      </c>
      <c r="C1019" s="267">
        <v>0</v>
      </c>
      <c r="D1019" s="268">
        <f t="shared" si="210"/>
        <v>0</v>
      </c>
      <c r="E1019" s="267"/>
      <c r="F1019" s="267"/>
      <c r="G1019" s="267"/>
      <c r="H1019" s="267"/>
      <c r="I1019" s="287"/>
      <c r="J1019" s="288">
        <f t="shared" si="218"/>
        <v>0</v>
      </c>
      <c r="K1019" s="276" t="s">
        <v>1087</v>
      </c>
      <c r="L1019" s="33">
        <v>1</v>
      </c>
      <c r="M1019" s="157" t="s">
        <v>3313</v>
      </c>
      <c r="N1019" s="157"/>
      <c r="O1019" s="157" t="s">
        <v>608</v>
      </c>
      <c r="P1019" s="163" t="s">
        <v>3315</v>
      </c>
    </row>
    <row r="1020" s="92" customFormat="1" ht="20.1" customHeight="1" spans="1:16">
      <c r="A1020" s="157" t="s">
        <v>3316</v>
      </c>
      <c r="B1020" s="36" t="s">
        <v>3317</v>
      </c>
      <c r="C1020" s="267">
        <v>0</v>
      </c>
      <c r="D1020" s="268">
        <f t="shared" si="210"/>
        <v>0</v>
      </c>
      <c r="E1020" s="267"/>
      <c r="F1020" s="267"/>
      <c r="G1020" s="267"/>
      <c r="H1020" s="267"/>
      <c r="I1020" s="287"/>
      <c r="J1020" s="288">
        <f t="shared" si="218"/>
        <v>0</v>
      </c>
      <c r="K1020" s="276" t="s">
        <v>1087</v>
      </c>
      <c r="L1020" s="33">
        <v>1</v>
      </c>
      <c r="M1020" s="157" t="s">
        <v>3316</v>
      </c>
      <c r="N1020" s="157"/>
      <c r="O1020" s="157" t="s">
        <v>608</v>
      </c>
      <c r="P1020" s="163" t="s">
        <v>3318</v>
      </c>
    </row>
    <row r="1021" s="92" customFormat="1" ht="20.1" customHeight="1" spans="1:16">
      <c r="A1021" s="157" t="s">
        <v>3319</v>
      </c>
      <c r="B1021" s="36" t="s">
        <v>3320</v>
      </c>
      <c r="C1021" s="267">
        <v>0</v>
      </c>
      <c r="D1021" s="268">
        <f t="shared" si="210"/>
        <v>0</v>
      </c>
      <c r="E1021" s="267"/>
      <c r="F1021" s="267"/>
      <c r="G1021" s="267"/>
      <c r="H1021" s="267"/>
      <c r="I1021" s="287"/>
      <c r="J1021" s="288">
        <f t="shared" si="218"/>
        <v>0</v>
      </c>
      <c r="K1021" s="276" t="s">
        <v>1087</v>
      </c>
      <c r="L1021" s="33">
        <v>1</v>
      </c>
      <c r="M1021" s="157" t="s">
        <v>3319</v>
      </c>
      <c r="N1021" s="157"/>
      <c r="O1021" s="157" t="s">
        <v>608</v>
      </c>
      <c r="P1021" s="163" t="s">
        <v>3321</v>
      </c>
    </row>
    <row r="1022" s="93" customFormat="1" ht="20.1" customHeight="1" spans="1:16">
      <c r="A1022" s="263" t="s">
        <v>610</v>
      </c>
      <c r="B1022" s="297" t="s">
        <v>3322</v>
      </c>
      <c r="C1022" s="265">
        <v>0</v>
      </c>
      <c r="D1022" s="265">
        <f t="shared" si="210"/>
        <v>0</v>
      </c>
      <c r="E1022" s="265">
        <f t="shared" ref="E1022:H1022" si="219">SUM(E1023:E1028)</f>
        <v>0</v>
      </c>
      <c r="F1022" s="265">
        <f t="shared" si="219"/>
        <v>0</v>
      </c>
      <c r="G1022" s="265">
        <f>VLOOKUP(A1022,[1]√表四、2024年公共财政支出变动表!$A$7:$R$214,18,FALSE)</f>
        <v>0</v>
      </c>
      <c r="H1022" s="265">
        <f t="shared" si="219"/>
        <v>0</v>
      </c>
      <c r="I1022" s="265"/>
      <c r="J1022" s="298">
        <f t="shared" si="218"/>
        <v>0</v>
      </c>
      <c r="K1022" s="284" t="s">
        <v>1082</v>
      </c>
      <c r="L1022" s="285"/>
      <c r="M1022" s="263" t="s">
        <v>610</v>
      </c>
      <c r="N1022" s="263" t="s">
        <v>605</v>
      </c>
      <c r="O1022" s="263" t="s">
        <v>610</v>
      </c>
      <c r="P1022" s="286" t="s">
        <v>3323</v>
      </c>
    </row>
    <row r="1023" s="92" customFormat="1" ht="20.1" customHeight="1" spans="1:16">
      <c r="A1023" s="157" t="s">
        <v>3324</v>
      </c>
      <c r="B1023" s="36" t="s">
        <v>1086</v>
      </c>
      <c r="C1023" s="267">
        <v>0</v>
      </c>
      <c r="D1023" s="268">
        <f t="shared" si="210"/>
        <v>0</v>
      </c>
      <c r="E1023" s="267"/>
      <c r="F1023" s="267"/>
      <c r="G1023" s="267"/>
      <c r="H1023" s="267"/>
      <c r="I1023" s="287"/>
      <c r="J1023" s="288">
        <f t="shared" si="218"/>
        <v>0</v>
      </c>
      <c r="K1023" s="276" t="s">
        <v>1087</v>
      </c>
      <c r="L1023" s="33">
        <v>1</v>
      </c>
      <c r="M1023" s="157" t="s">
        <v>3324</v>
      </c>
      <c r="N1023" s="157"/>
      <c r="O1023" s="157" t="s">
        <v>610</v>
      </c>
      <c r="P1023" s="164" t="s">
        <v>1088</v>
      </c>
    </row>
    <row r="1024" s="92" customFormat="1" ht="20.1" customHeight="1" spans="1:16">
      <c r="A1024" s="157" t="s">
        <v>3325</v>
      </c>
      <c r="B1024" s="36" t="s">
        <v>1090</v>
      </c>
      <c r="C1024" s="267"/>
      <c r="D1024" s="268">
        <f t="shared" si="210"/>
        <v>0</v>
      </c>
      <c r="E1024" s="267"/>
      <c r="F1024" s="267"/>
      <c r="G1024" s="267"/>
      <c r="H1024" s="267"/>
      <c r="I1024" s="287"/>
      <c r="J1024" s="288">
        <f t="shared" si="218"/>
        <v>0</v>
      </c>
      <c r="K1024" s="276" t="s">
        <v>1087</v>
      </c>
      <c r="L1024" s="33">
        <v>1</v>
      </c>
      <c r="M1024" s="157" t="s">
        <v>3325</v>
      </c>
      <c r="N1024" s="157"/>
      <c r="O1024" s="157" t="s">
        <v>610</v>
      </c>
      <c r="P1024" s="164" t="s">
        <v>1091</v>
      </c>
    </row>
    <row r="1025" s="92" customFormat="1" ht="20.1" customHeight="1" spans="1:16">
      <c r="A1025" s="157" t="s">
        <v>3326</v>
      </c>
      <c r="B1025" s="36" t="s">
        <v>1093</v>
      </c>
      <c r="C1025" s="267">
        <v>0</v>
      </c>
      <c r="D1025" s="268">
        <f t="shared" si="210"/>
        <v>0</v>
      </c>
      <c r="E1025" s="267"/>
      <c r="F1025" s="267"/>
      <c r="G1025" s="267"/>
      <c r="H1025" s="267"/>
      <c r="I1025" s="287"/>
      <c r="J1025" s="288">
        <f t="shared" si="218"/>
        <v>0</v>
      </c>
      <c r="K1025" s="276" t="s">
        <v>1087</v>
      </c>
      <c r="L1025" s="33">
        <v>1</v>
      </c>
      <c r="M1025" s="157" t="s">
        <v>3326</v>
      </c>
      <c r="N1025" s="157"/>
      <c r="O1025" s="157" t="s">
        <v>610</v>
      </c>
      <c r="P1025" s="164" t="s">
        <v>1094</v>
      </c>
    </row>
    <row r="1026" s="92" customFormat="1" ht="20.1" customHeight="1" spans="1:16">
      <c r="A1026" s="157" t="s">
        <v>3327</v>
      </c>
      <c r="B1026" s="36" t="s">
        <v>3295</v>
      </c>
      <c r="C1026" s="267">
        <v>0</v>
      </c>
      <c r="D1026" s="268">
        <f t="shared" si="210"/>
        <v>0</v>
      </c>
      <c r="E1026" s="267"/>
      <c r="F1026" s="267"/>
      <c r="G1026" s="267"/>
      <c r="H1026" s="267"/>
      <c r="I1026" s="287"/>
      <c r="J1026" s="288">
        <f t="shared" si="218"/>
        <v>0</v>
      </c>
      <c r="K1026" s="276" t="s">
        <v>1087</v>
      </c>
      <c r="L1026" s="33">
        <v>1</v>
      </c>
      <c r="M1026" s="157" t="s">
        <v>3327</v>
      </c>
      <c r="N1026" s="157"/>
      <c r="O1026" s="157" t="s">
        <v>610</v>
      </c>
      <c r="P1026" s="164" t="s">
        <v>3296</v>
      </c>
    </row>
    <row r="1027" s="92" customFormat="1" ht="20.1" customHeight="1" spans="1:16">
      <c r="A1027" s="157" t="s">
        <v>3328</v>
      </c>
      <c r="B1027" s="36" t="s">
        <v>3329</v>
      </c>
      <c r="C1027" s="267">
        <v>0</v>
      </c>
      <c r="D1027" s="268">
        <f t="shared" si="210"/>
        <v>0</v>
      </c>
      <c r="E1027" s="267"/>
      <c r="F1027" s="267"/>
      <c r="G1027" s="267"/>
      <c r="H1027" s="267"/>
      <c r="I1027" s="287"/>
      <c r="J1027" s="288">
        <f t="shared" si="218"/>
        <v>0</v>
      </c>
      <c r="K1027" s="276" t="s">
        <v>1087</v>
      </c>
      <c r="L1027" s="33">
        <v>1</v>
      </c>
      <c r="M1027" s="157" t="s">
        <v>3328</v>
      </c>
      <c r="N1027" s="157"/>
      <c r="O1027" s="157" t="s">
        <v>610</v>
      </c>
      <c r="P1027" s="163" t="s">
        <v>3330</v>
      </c>
    </row>
    <row r="1028" s="92" customFormat="1" ht="20.1" customHeight="1" spans="1:16">
      <c r="A1028" s="157" t="s">
        <v>3331</v>
      </c>
      <c r="B1028" s="36" t="s">
        <v>3332</v>
      </c>
      <c r="C1028" s="267">
        <v>0</v>
      </c>
      <c r="D1028" s="268">
        <f t="shared" si="210"/>
        <v>0</v>
      </c>
      <c r="E1028" s="267"/>
      <c r="F1028" s="267"/>
      <c r="G1028" s="267"/>
      <c r="H1028" s="267"/>
      <c r="I1028" s="287"/>
      <c r="J1028" s="288">
        <f t="shared" si="218"/>
        <v>0</v>
      </c>
      <c r="K1028" s="276" t="s">
        <v>1087</v>
      </c>
      <c r="L1028" s="33">
        <v>1</v>
      </c>
      <c r="M1028" s="157" t="s">
        <v>3331</v>
      </c>
      <c r="N1028" s="157"/>
      <c r="O1028" s="157" t="s">
        <v>610</v>
      </c>
      <c r="P1028" s="163" t="s">
        <v>3333</v>
      </c>
    </row>
    <row r="1029" s="93" customFormat="1" ht="20.1" customHeight="1" spans="1:16">
      <c r="A1029" s="263" t="s">
        <v>612</v>
      </c>
      <c r="B1029" s="297" t="s">
        <v>3334</v>
      </c>
      <c r="C1029" s="265">
        <f t="shared" ref="C1029:H1029" si="220">SUM(C1030:C1031)</f>
        <v>352</v>
      </c>
      <c r="D1029" s="265">
        <f t="shared" si="210"/>
        <v>132</v>
      </c>
      <c r="E1029" s="265">
        <f t="shared" si="220"/>
        <v>0</v>
      </c>
      <c r="F1029" s="265">
        <f t="shared" si="220"/>
        <v>0</v>
      </c>
      <c r="G1029" s="265">
        <f t="shared" si="220"/>
        <v>132</v>
      </c>
      <c r="H1029" s="265">
        <f t="shared" si="220"/>
        <v>0</v>
      </c>
      <c r="I1029" s="265"/>
      <c r="J1029" s="298">
        <f t="shared" si="218"/>
        <v>37.5</v>
      </c>
      <c r="K1029" s="284" t="s">
        <v>1082</v>
      </c>
      <c r="L1029" s="285"/>
      <c r="M1029" s="263" t="s">
        <v>612</v>
      </c>
      <c r="N1029" s="263" t="s">
        <v>605</v>
      </c>
      <c r="O1029" s="263" t="s">
        <v>612</v>
      </c>
      <c r="P1029" s="286" t="s">
        <v>3335</v>
      </c>
    </row>
    <row r="1030" s="92" customFormat="1" ht="20.1" customHeight="1" spans="1:16">
      <c r="A1030" s="157" t="s">
        <v>3336</v>
      </c>
      <c r="B1030" s="36" t="s">
        <v>3337</v>
      </c>
      <c r="C1030" s="267">
        <v>352</v>
      </c>
      <c r="D1030" s="268">
        <f t="shared" ref="D1030:D1093" si="221">SUM(E1030:I1030)</f>
        <v>0</v>
      </c>
      <c r="E1030" s="267"/>
      <c r="F1030" s="267"/>
      <c r="G1030" s="267"/>
      <c r="H1030" s="267"/>
      <c r="I1030" s="287"/>
      <c r="J1030" s="288">
        <f t="shared" si="218"/>
        <v>-100</v>
      </c>
      <c r="K1030" s="276" t="s">
        <v>1087</v>
      </c>
      <c r="L1030" s="33">
        <v>1</v>
      </c>
      <c r="M1030" s="157" t="s">
        <v>3336</v>
      </c>
      <c r="N1030" s="157"/>
      <c r="O1030" s="157" t="s">
        <v>612</v>
      </c>
      <c r="P1030" s="163" t="s">
        <v>3338</v>
      </c>
    </row>
    <row r="1031" s="92" customFormat="1" ht="20.1" customHeight="1" spans="1:16">
      <c r="A1031" s="157" t="s">
        <v>3339</v>
      </c>
      <c r="B1031" s="36" t="s">
        <v>374</v>
      </c>
      <c r="C1031" s="267">
        <v>0</v>
      </c>
      <c r="D1031" s="268">
        <f t="shared" si="221"/>
        <v>132</v>
      </c>
      <c r="E1031" s="267"/>
      <c r="F1031" s="267"/>
      <c r="G1031" s="267">
        <v>132</v>
      </c>
      <c r="H1031" s="267"/>
      <c r="I1031" s="287"/>
      <c r="J1031" s="288">
        <f t="shared" si="218"/>
        <v>100</v>
      </c>
      <c r="K1031" s="276" t="s">
        <v>1087</v>
      </c>
      <c r="L1031" s="33">
        <v>1</v>
      </c>
      <c r="M1031" s="157" t="s">
        <v>3339</v>
      </c>
      <c r="N1031" s="157"/>
      <c r="O1031" s="157" t="s">
        <v>612</v>
      </c>
      <c r="P1031" s="163" t="s">
        <v>3335</v>
      </c>
    </row>
    <row r="1032" s="93" customFormat="1" ht="20.1" customHeight="1" spans="1:16">
      <c r="A1032" s="154" t="s">
        <v>613</v>
      </c>
      <c r="B1032" s="261" t="s">
        <v>375</v>
      </c>
      <c r="C1032" s="262">
        <f t="shared" ref="C1032:I1032" si="222">C1033+C1043+C1059+C1064+C1075+C1082+C1090</f>
        <v>1110</v>
      </c>
      <c r="D1032" s="262">
        <f t="shared" si="221"/>
        <v>753</v>
      </c>
      <c r="E1032" s="262">
        <f t="shared" si="222"/>
        <v>0</v>
      </c>
      <c r="F1032" s="262">
        <f t="shared" si="222"/>
        <v>0</v>
      </c>
      <c r="G1032" s="262">
        <f t="shared" si="222"/>
        <v>753</v>
      </c>
      <c r="H1032" s="262">
        <f t="shared" si="222"/>
        <v>0</v>
      </c>
      <c r="I1032" s="262">
        <f t="shared" si="222"/>
        <v>0</v>
      </c>
      <c r="J1032" s="279">
        <f t="shared" si="218"/>
        <v>67.84</v>
      </c>
      <c r="K1032" s="280" t="s">
        <v>1081</v>
      </c>
      <c r="L1032" s="281"/>
      <c r="M1032" s="154" t="s">
        <v>613</v>
      </c>
      <c r="N1032" s="154" t="s">
        <v>613</v>
      </c>
      <c r="O1032" s="154" t="s">
        <v>613</v>
      </c>
      <c r="P1032" s="282" t="s">
        <v>3340</v>
      </c>
    </row>
    <row r="1033" s="93" customFormat="1" ht="20.1" customHeight="1" spans="1:16">
      <c r="A1033" s="263" t="s">
        <v>614</v>
      </c>
      <c r="B1033" s="297" t="s">
        <v>3341</v>
      </c>
      <c r="C1033" s="265">
        <f t="shared" ref="C1033:I1033" si="223">SUM(C1034:C1042)</f>
        <v>37</v>
      </c>
      <c r="D1033" s="265">
        <f t="shared" si="221"/>
        <v>0</v>
      </c>
      <c r="E1033" s="265">
        <f t="shared" si="223"/>
        <v>0</v>
      </c>
      <c r="F1033" s="265">
        <f t="shared" si="223"/>
        <v>0</v>
      </c>
      <c r="G1033" s="265">
        <f t="shared" si="223"/>
        <v>0</v>
      </c>
      <c r="H1033" s="265">
        <f t="shared" si="223"/>
        <v>0</v>
      </c>
      <c r="I1033" s="265">
        <f t="shared" si="223"/>
        <v>0</v>
      </c>
      <c r="J1033" s="298">
        <f t="shared" si="218"/>
        <v>-100</v>
      </c>
      <c r="K1033" s="284" t="s">
        <v>1082</v>
      </c>
      <c r="L1033" s="285"/>
      <c r="M1033" s="263" t="s">
        <v>614</v>
      </c>
      <c r="N1033" s="263" t="s">
        <v>613</v>
      </c>
      <c r="O1033" s="263" t="s">
        <v>614</v>
      </c>
      <c r="P1033" s="286" t="s">
        <v>3342</v>
      </c>
    </row>
    <row r="1034" s="92" customFormat="1" ht="20.1" customHeight="1" spans="1:16">
      <c r="A1034" s="157" t="s">
        <v>3343</v>
      </c>
      <c r="B1034" s="36" t="s">
        <v>1086</v>
      </c>
      <c r="C1034" s="267">
        <v>0</v>
      </c>
      <c r="D1034" s="268">
        <f t="shared" si="221"/>
        <v>0</v>
      </c>
      <c r="E1034" s="267"/>
      <c r="F1034" s="267"/>
      <c r="G1034" s="267"/>
      <c r="H1034" s="267"/>
      <c r="I1034" s="287"/>
      <c r="J1034" s="288">
        <f t="shared" si="218"/>
        <v>0</v>
      </c>
      <c r="K1034" s="276" t="s">
        <v>1087</v>
      </c>
      <c r="L1034" s="33">
        <v>1</v>
      </c>
      <c r="M1034" s="157" t="s">
        <v>3343</v>
      </c>
      <c r="N1034" s="157"/>
      <c r="O1034" s="157" t="s">
        <v>614</v>
      </c>
      <c r="P1034" s="164" t="s">
        <v>1088</v>
      </c>
    </row>
    <row r="1035" s="92" customFormat="1" ht="20.1" customHeight="1" spans="1:16">
      <c r="A1035" s="157" t="s">
        <v>3344</v>
      </c>
      <c r="B1035" s="36" t="s">
        <v>1090</v>
      </c>
      <c r="C1035" s="267">
        <v>0</v>
      </c>
      <c r="D1035" s="268">
        <f t="shared" si="221"/>
        <v>0</v>
      </c>
      <c r="E1035" s="267"/>
      <c r="F1035" s="267"/>
      <c r="G1035" s="267"/>
      <c r="H1035" s="267"/>
      <c r="I1035" s="287"/>
      <c r="J1035" s="288">
        <f t="shared" si="218"/>
        <v>0</v>
      </c>
      <c r="K1035" s="276" t="s">
        <v>1087</v>
      </c>
      <c r="L1035" s="33">
        <v>1</v>
      </c>
      <c r="M1035" s="157" t="s">
        <v>3344</v>
      </c>
      <c r="N1035" s="157"/>
      <c r="O1035" s="157" t="s">
        <v>614</v>
      </c>
      <c r="P1035" s="164" t="s">
        <v>1091</v>
      </c>
    </row>
    <row r="1036" s="92" customFormat="1" ht="20.1" customHeight="1" spans="1:16">
      <c r="A1036" s="157" t="s">
        <v>3345</v>
      </c>
      <c r="B1036" s="36" t="s">
        <v>1093</v>
      </c>
      <c r="C1036" s="267">
        <v>0</v>
      </c>
      <c r="D1036" s="268">
        <f t="shared" si="221"/>
        <v>0</v>
      </c>
      <c r="E1036" s="267"/>
      <c r="F1036" s="267"/>
      <c r="G1036" s="267"/>
      <c r="H1036" s="267"/>
      <c r="I1036" s="287"/>
      <c r="J1036" s="288">
        <f t="shared" si="218"/>
        <v>0</v>
      </c>
      <c r="K1036" s="276" t="s">
        <v>1087</v>
      </c>
      <c r="L1036" s="33">
        <v>1</v>
      </c>
      <c r="M1036" s="157" t="s">
        <v>3345</v>
      </c>
      <c r="N1036" s="157"/>
      <c r="O1036" s="157" t="s">
        <v>614</v>
      </c>
      <c r="P1036" s="164" t="s">
        <v>1094</v>
      </c>
    </row>
    <row r="1037" s="92" customFormat="1" ht="20.1" customHeight="1" spans="1:16">
      <c r="A1037" s="157" t="s">
        <v>3346</v>
      </c>
      <c r="B1037" s="36" t="s">
        <v>3347</v>
      </c>
      <c r="C1037" s="267">
        <v>0</v>
      </c>
      <c r="D1037" s="268">
        <f t="shared" si="221"/>
        <v>0</v>
      </c>
      <c r="E1037" s="267"/>
      <c r="F1037" s="267"/>
      <c r="G1037" s="267"/>
      <c r="H1037" s="267"/>
      <c r="I1037" s="287"/>
      <c r="J1037" s="288">
        <f t="shared" si="218"/>
        <v>0</v>
      </c>
      <c r="K1037" s="276" t="s">
        <v>1087</v>
      </c>
      <c r="L1037" s="33">
        <v>1</v>
      </c>
      <c r="M1037" s="157" t="s">
        <v>3346</v>
      </c>
      <c r="N1037" s="157"/>
      <c r="O1037" s="157" t="s">
        <v>614</v>
      </c>
      <c r="P1037" s="163" t="s">
        <v>3348</v>
      </c>
    </row>
    <row r="1038" s="92" customFormat="1" ht="20.1" customHeight="1" spans="1:16">
      <c r="A1038" s="157" t="s">
        <v>3349</v>
      </c>
      <c r="B1038" s="36" t="s">
        <v>3350</v>
      </c>
      <c r="C1038" s="267">
        <v>0</v>
      </c>
      <c r="D1038" s="268">
        <f t="shared" si="221"/>
        <v>0</v>
      </c>
      <c r="E1038" s="267"/>
      <c r="F1038" s="267"/>
      <c r="G1038" s="267"/>
      <c r="H1038" s="267"/>
      <c r="I1038" s="287"/>
      <c r="J1038" s="288">
        <f t="shared" si="218"/>
        <v>0</v>
      </c>
      <c r="K1038" s="276" t="s">
        <v>1087</v>
      </c>
      <c r="L1038" s="33">
        <v>1</v>
      </c>
      <c r="M1038" s="157" t="s">
        <v>3349</v>
      </c>
      <c r="N1038" s="157"/>
      <c r="O1038" s="157" t="s">
        <v>614</v>
      </c>
      <c r="P1038" s="163" t="s">
        <v>3351</v>
      </c>
    </row>
    <row r="1039" s="92" customFormat="1" ht="20.1" customHeight="1" spans="1:16">
      <c r="A1039" s="157" t="s">
        <v>3352</v>
      </c>
      <c r="B1039" s="36" t="s">
        <v>3353</v>
      </c>
      <c r="C1039" s="267">
        <v>0</v>
      </c>
      <c r="D1039" s="268">
        <f t="shared" si="221"/>
        <v>0</v>
      </c>
      <c r="E1039" s="267"/>
      <c r="F1039" s="267"/>
      <c r="G1039" s="267"/>
      <c r="H1039" s="267"/>
      <c r="I1039" s="287"/>
      <c r="J1039" s="288">
        <f t="shared" si="218"/>
        <v>0</v>
      </c>
      <c r="K1039" s="276" t="s">
        <v>1087</v>
      </c>
      <c r="L1039" s="33">
        <v>1</v>
      </c>
      <c r="M1039" s="157" t="s">
        <v>3352</v>
      </c>
      <c r="N1039" s="157"/>
      <c r="O1039" s="157" t="s">
        <v>614</v>
      </c>
      <c r="P1039" s="163" t="s">
        <v>3354</v>
      </c>
    </row>
    <row r="1040" s="92" customFormat="1" ht="20.1" customHeight="1" spans="1:16">
      <c r="A1040" s="157" t="s">
        <v>3355</v>
      </c>
      <c r="B1040" s="36" t="s">
        <v>3356</v>
      </c>
      <c r="C1040" s="267">
        <v>0</v>
      </c>
      <c r="D1040" s="268">
        <f t="shared" si="221"/>
        <v>0</v>
      </c>
      <c r="E1040" s="267"/>
      <c r="F1040" s="267"/>
      <c r="G1040" s="267"/>
      <c r="H1040" s="267"/>
      <c r="I1040" s="287"/>
      <c r="J1040" s="288">
        <f t="shared" si="218"/>
        <v>0</v>
      </c>
      <c r="K1040" s="276" t="s">
        <v>1087</v>
      </c>
      <c r="L1040" s="33">
        <v>1</v>
      </c>
      <c r="M1040" s="157" t="s">
        <v>3355</v>
      </c>
      <c r="N1040" s="157"/>
      <c r="O1040" s="157" t="s">
        <v>614</v>
      </c>
      <c r="P1040" s="163" t="s">
        <v>3357</v>
      </c>
    </row>
    <row r="1041" s="92" customFormat="1" ht="20.1" customHeight="1" spans="1:16">
      <c r="A1041" s="157" t="s">
        <v>3358</v>
      </c>
      <c r="B1041" s="36" t="s">
        <v>3359</v>
      </c>
      <c r="C1041" s="267">
        <v>0</v>
      </c>
      <c r="D1041" s="268">
        <f t="shared" si="221"/>
        <v>0</v>
      </c>
      <c r="E1041" s="267"/>
      <c r="F1041" s="267"/>
      <c r="G1041" s="267"/>
      <c r="H1041" s="267"/>
      <c r="I1041" s="287"/>
      <c r="J1041" s="288">
        <f t="shared" si="218"/>
        <v>0</v>
      </c>
      <c r="K1041" s="276" t="s">
        <v>1087</v>
      </c>
      <c r="L1041" s="33">
        <v>1</v>
      </c>
      <c r="M1041" s="157" t="s">
        <v>3358</v>
      </c>
      <c r="N1041" s="157"/>
      <c r="O1041" s="157" t="s">
        <v>614</v>
      </c>
      <c r="P1041" s="163" t="s">
        <v>3360</v>
      </c>
    </row>
    <row r="1042" s="92" customFormat="1" ht="20.1" customHeight="1" spans="1:16">
      <c r="A1042" s="157" t="s">
        <v>3361</v>
      </c>
      <c r="B1042" s="36" t="s">
        <v>3362</v>
      </c>
      <c r="C1042" s="267">
        <v>37</v>
      </c>
      <c r="D1042" s="268">
        <f t="shared" si="221"/>
        <v>0</v>
      </c>
      <c r="E1042" s="267"/>
      <c r="F1042" s="267"/>
      <c r="G1042" s="267"/>
      <c r="H1042" s="267"/>
      <c r="I1042" s="287"/>
      <c r="J1042" s="288">
        <f t="shared" si="218"/>
        <v>-100</v>
      </c>
      <c r="K1042" s="276" t="s">
        <v>1087</v>
      </c>
      <c r="L1042" s="33">
        <v>1</v>
      </c>
      <c r="M1042" s="157" t="s">
        <v>3361</v>
      </c>
      <c r="N1042" s="157"/>
      <c r="O1042" s="157" t="s">
        <v>614</v>
      </c>
      <c r="P1042" s="163" t="s">
        <v>3363</v>
      </c>
    </row>
    <row r="1043" s="93" customFormat="1" ht="20.1" customHeight="1" spans="1:16">
      <c r="A1043" s="263" t="s">
        <v>615</v>
      </c>
      <c r="B1043" s="297" t="s">
        <v>3364</v>
      </c>
      <c r="C1043" s="265">
        <f t="shared" ref="C1043:I1043" si="224">SUM(C1044:C1058)</f>
        <v>324</v>
      </c>
      <c r="D1043" s="265">
        <f t="shared" si="221"/>
        <v>153</v>
      </c>
      <c r="E1043" s="265">
        <f t="shared" si="224"/>
        <v>0</v>
      </c>
      <c r="F1043" s="265">
        <f t="shared" si="224"/>
        <v>0</v>
      </c>
      <c r="G1043" s="265">
        <f t="shared" si="224"/>
        <v>153</v>
      </c>
      <c r="H1043" s="265">
        <f t="shared" si="224"/>
        <v>0</v>
      </c>
      <c r="I1043" s="265">
        <f t="shared" si="224"/>
        <v>0</v>
      </c>
      <c r="J1043" s="298">
        <f t="shared" si="218"/>
        <v>47.22</v>
      </c>
      <c r="K1043" s="284" t="s">
        <v>1082</v>
      </c>
      <c r="L1043" s="285"/>
      <c r="M1043" s="263" t="s">
        <v>615</v>
      </c>
      <c r="N1043" s="263" t="s">
        <v>613</v>
      </c>
      <c r="O1043" s="263" t="s">
        <v>615</v>
      </c>
      <c r="P1043" s="286" t="s">
        <v>3365</v>
      </c>
    </row>
    <row r="1044" s="92" customFormat="1" ht="20.1" customHeight="1" spans="1:16">
      <c r="A1044" s="157" t="s">
        <v>3366</v>
      </c>
      <c r="B1044" s="36" t="s">
        <v>1086</v>
      </c>
      <c r="C1044" s="267">
        <v>0</v>
      </c>
      <c r="D1044" s="268">
        <f t="shared" si="221"/>
        <v>0</v>
      </c>
      <c r="E1044" s="267"/>
      <c r="F1044" s="267"/>
      <c r="G1044" s="267"/>
      <c r="H1044" s="267"/>
      <c r="I1044" s="287"/>
      <c r="J1044" s="288">
        <f t="shared" si="218"/>
        <v>0</v>
      </c>
      <c r="K1044" s="276" t="s">
        <v>1087</v>
      </c>
      <c r="L1044" s="33">
        <v>1</v>
      </c>
      <c r="M1044" s="157" t="s">
        <v>3366</v>
      </c>
      <c r="N1044" s="157"/>
      <c r="O1044" s="157" t="s">
        <v>615</v>
      </c>
      <c r="P1044" s="164" t="s">
        <v>1088</v>
      </c>
    </row>
    <row r="1045" s="92" customFormat="1" ht="20.1" customHeight="1" spans="1:16">
      <c r="A1045" s="157" t="s">
        <v>3367</v>
      </c>
      <c r="B1045" s="36" t="s">
        <v>1090</v>
      </c>
      <c r="C1045" s="267">
        <v>0</v>
      </c>
      <c r="D1045" s="268">
        <f t="shared" si="221"/>
        <v>0</v>
      </c>
      <c r="E1045" s="267"/>
      <c r="F1045" s="267"/>
      <c r="G1045" s="267"/>
      <c r="H1045" s="267"/>
      <c r="I1045" s="287"/>
      <c r="J1045" s="288">
        <f t="shared" si="218"/>
        <v>0</v>
      </c>
      <c r="K1045" s="276" t="s">
        <v>1087</v>
      </c>
      <c r="L1045" s="33">
        <v>1</v>
      </c>
      <c r="M1045" s="157" t="s">
        <v>3367</v>
      </c>
      <c r="N1045" s="157"/>
      <c r="O1045" s="157" t="s">
        <v>615</v>
      </c>
      <c r="P1045" s="164" t="s">
        <v>1091</v>
      </c>
    </row>
    <row r="1046" s="92" customFormat="1" ht="20.1" customHeight="1" spans="1:16">
      <c r="A1046" s="157" t="s">
        <v>3368</v>
      </c>
      <c r="B1046" s="36" t="s">
        <v>1093</v>
      </c>
      <c r="C1046" s="267">
        <v>0</v>
      </c>
      <c r="D1046" s="268">
        <f t="shared" si="221"/>
        <v>0</v>
      </c>
      <c r="E1046" s="267"/>
      <c r="F1046" s="267"/>
      <c r="G1046" s="267"/>
      <c r="H1046" s="267"/>
      <c r="I1046" s="287"/>
      <c r="J1046" s="288">
        <f t="shared" si="218"/>
        <v>0</v>
      </c>
      <c r="K1046" s="276" t="s">
        <v>1087</v>
      </c>
      <c r="L1046" s="33">
        <v>1</v>
      </c>
      <c r="M1046" s="157" t="s">
        <v>3368</v>
      </c>
      <c r="N1046" s="157"/>
      <c r="O1046" s="157" t="s">
        <v>615</v>
      </c>
      <c r="P1046" s="164" t="s">
        <v>1094</v>
      </c>
    </row>
    <row r="1047" s="92" customFormat="1" ht="20.1" customHeight="1" spans="1:16">
      <c r="A1047" s="157" t="s">
        <v>3369</v>
      </c>
      <c r="B1047" s="36" t="s">
        <v>3370</v>
      </c>
      <c r="C1047" s="267">
        <v>0</v>
      </c>
      <c r="D1047" s="268">
        <f t="shared" si="221"/>
        <v>0</v>
      </c>
      <c r="E1047" s="267"/>
      <c r="F1047" s="267"/>
      <c r="G1047" s="267"/>
      <c r="H1047" s="267"/>
      <c r="I1047" s="287"/>
      <c r="J1047" s="288">
        <f t="shared" si="218"/>
        <v>0</v>
      </c>
      <c r="K1047" s="276" t="s">
        <v>1087</v>
      </c>
      <c r="L1047" s="33">
        <v>1</v>
      </c>
      <c r="M1047" s="157" t="s">
        <v>3369</v>
      </c>
      <c r="N1047" s="157"/>
      <c r="O1047" s="157" t="s">
        <v>615</v>
      </c>
      <c r="P1047" s="163" t="s">
        <v>3371</v>
      </c>
    </row>
    <row r="1048" s="92" customFormat="1" ht="20.1" customHeight="1" spans="1:16">
      <c r="A1048" s="157" t="s">
        <v>3372</v>
      </c>
      <c r="B1048" s="36" t="s">
        <v>3373</v>
      </c>
      <c r="C1048" s="267">
        <v>0</v>
      </c>
      <c r="D1048" s="268">
        <f t="shared" si="221"/>
        <v>0</v>
      </c>
      <c r="E1048" s="267"/>
      <c r="F1048" s="267"/>
      <c r="G1048" s="267"/>
      <c r="H1048" s="267"/>
      <c r="I1048" s="287"/>
      <c r="J1048" s="288">
        <f t="shared" si="218"/>
        <v>0</v>
      </c>
      <c r="K1048" s="276" t="s">
        <v>1087</v>
      </c>
      <c r="L1048" s="33">
        <v>1</v>
      </c>
      <c r="M1048" s="157" t="s">
        <v>3372</v>
      </c>
      <c r="N1048" s="157"/>
      <c r="O1048" s="157" t="s">
        <v>615</v>
      </c>
      <c r="P1048" s="163" t="s">
        <v>3374</v>
      </c>
    </row>
    <row r="1049" s="92" customFormat="1" ht="20.1" customHeight="1" spans="1:16">
      <c r="A1049" s="157" t="s">
        <v>3375</v>
      </c>
      <c r="B1049" s="36" t="s">
        <v>3376</v>
      </c>
      <c r="C1049" s="267">
        <v>0</v>
      </c>
      <c r="D1049" s="268">
        <f t="shared" si="221"/>
        <v>0</v>
      </c>
      <c r="E1049" s="267"/>
      <c r="F1049" s="267"/>
      <c r="G1049" s="267"/>
      <c r="H1049" s="267"/>
      <c r="I1049" s="287"/>
      <c r="J1049" s="288">
        <f t="shared" si="218"/>
        <v>0</v>
      </c>
      <c r="K1049" s="276" t="s">
        <v>1087</v>
      </c>
      <c r="L1049" s="33">
        <v>1</v>
      </c>
      <c r="M1049" s="157" t="s">
        <v>3375</v>
      </c>
      <c r="N1049" s="157"/>
      <c r="O1049" s="157" t="s">
        <v>615</v>
      </c>
      <c r="P1049" s="163" t="s">
        <v>3377</v>
      </c>
    </row>
    <row r="1050" s="92" customFormat="1" ht="20.1" customHeight="1" spans="1:16">
      <c r="A1050" s="157" t="s">
        <v>3378</v>
      </c>
      <c r="B1050" s="36" t="s">
        <v>3379</v>
      </c>
      <c r="C1050" s="267">
        <v>0</v>
      </c>
      <c r="D1050" s="268">
        <f t="shared" si="221"/>
        <v>0</v>
      </c>
      <c r="E1050" s="267"/>
      <c r="F1050" s="267"/>
      <c r="G1050" s="267"/>
      <c r="H1050" s="267"/>
      <c r="I1050" s="287"/>
      <c r="J1050" s="288">
        <f t="shared" si="218"/>
        <v>0</v>
      </c>
      <c r="K1050" s="276" t="s">
        <v>1087</v>
      </c>
      <c r="L1050" s="33">
        <v>1</v>
      </c>
      <c r="M1050" s="157" t="s">
        <v>3378</v>
      </c>
      <c r="N1050" s="157"/>
      <c r="O1050" s="157" t="s">
        <v>615</v>
      </c>
      <c r="P1050" s="163" t="s">
        <v>3380</v>
      </c>
    </row>
    <row r="1051" s="92" customFormat="1" ht="20.1" customHeight="1" spans="1:16">
      <c r="A1051" s="157" t="s">
        <v>3381</v>
      </c>
      <c r="B1051" s="36" t="s">
        <v>3382</v>
      </c>
      <c r="C1051" s="267">
        <v>0</v>
      </c>
      <c r="D1051" s="268">
        <f t="shared" si="221"/>
        <v>0</v>
      </c>
      <c r="E1051" s="267"/>
      <c r="F1051" s="267"/>
      <c r="G1051" s="267"/>
      <c r="H1051" s="267"/>
      <c r="I1051" s="287"/>
      <c r="J1051" s="288">
        <f t="shared" si="218"/>
        <v>0</v>
      </c>
      <c r="K1051" s="276" t="s">
        <v>1087</v>
      </c>
      <c r="L1051" s="33">
        <v>1</v>
      </c>
      <c r="M1051" s="157" t="s">
        <v>3381</v>
      </c>
      <c r="N1051" s="157"/>
      <c r="O1051" s="157" t="s">
        <v>615</v>
      </c>
      <c r="P1051" s="163" t="s">
        <v>3383</v>
      </c>
    </row>
    <row r="1052" s="92" customFormat="1" ht="20.1" customHeight="1" spans="1:16">
      <c r="A1052" s="157" t="s">
        <v>3384</v>
      </c>
      <c r="B1052" s="36" t="s">
        <v>3385</v>
      </c>
      <c r="C1052" s="267">
        <v>0</v>
      </c>
      <c r="D1052" s="268">
        <f t="shared" si="221"/>
        <v>0</v>
      </c>
      <c r="E1052" s="267"/>
      <c r="F1052" s="267"/>
      <c r="G1052" s="267"/>
      <c r="H1052" s="267"/>
      <c r="I1052" s="287"/>
      <c r="J1052" s="288">
        <f t="shared" si="218"/>
        <v>0</v>
      </c>
      <c r="K1052" s="276" t="s">
        <v>1087</v>
      </c>
      <c r="L1052" s="33">
        <v>1</v>
      </c>
      <c r="M1052" s="157" t="s">
        <v>3384</v>
      </c>
      <c r="N1052" s="157"/>
      <c r="O1052" s="157" t="s">
        <v>615</v>
      </c>
      <c r="P1052" s="163" t="s">
        <v>3386</v>
      </c>
    </row>
    <row r="1053" s="92" customFormat="1" ht="20.1" customHeight="1" spans="1:16">
      <c r="A1053" s="157" t="s">
        <v>3387</v>
      </c>
      <c r="B1053" s="36" t="s">
        <v>3388</v>
      </c>
      <c r="C1053" s="267">
        <v>0</v>
      </c>
      <c r="D1053" s="268">
        <f t="shared" si="221"/>
        <v>0</v>
      </c>
      <c r="E1053" s="267"/>
      <c r="F1053" s="267"/>
      <c r="G1053" s="267"/>
      <c r="H1053" s="267"/>
      <c r="I1053" s="287"/>
      <c r="J1053" s="288">
        <f t="shared" si="218"/>
        <v>0</v>
      </c>
      <c r="K1053" s="276" t="s">
        <v>1087</v>
      </c>
      <c r="L1053" s="33">
        <v>1</v>
      </c>
      <c r="M1053" s="157" t="s">
        <v>3387</v>
      </c>
      <c r="N1053" s="157"/>
      <c r="O1053" s="157" t="s">
        <v>615</v>
      </c>
      <c r="P1053" s="163" t="s">
        <v>3389</v>
      </c>
    </row>
    <row r="1054" s="92" customFormat="1" ht="20.1" customHeight="1" spans="1:16">
      <c r="A1054" s="157" t="s">
        <v>3390</v>
      </c>
      <c r="B1054" s="36" t="s">
        <v>3391</v>
      </c>
      <c r="C1054" s="267">
        <v>0</v>
      </c>
      <c r="D1054" s="268">
        <f t="shared" si="221"/>
        <v>0</v>
      </c>
      <c r="E1054" s="267"/>
      <c r="F1054" s="267"/>
      <c r="G1054" s="267"/>
      <c r="H1054" s="267"/>
      <c r="I1054" s="287"/>
      <c r="J1054" s="288">
        <f t="shared" si="218"/>
        <v>0</v>
      </c>
      <c r="K1054" s="276" t="s">
        <v>1087</v>
      </c>
      <c r="L1054" s="33">
        <v>1</v>
      </c>
      <c r="M1054" s="157" t="s">
        <v>3390</v>
      </c>
      <c r="N1054" s="157"/>
      <c r="O1054" s="157" t="s">
        <v>615</v>
      </c>
      <c r="P1054" s="163" t="s">
        <v>3392</v>
      </c>
    </row>
    <row r="1055" s="92" customFormat="1" ht="20.1" customHeight="1" spans="1:16">
      <c r="A1055" s="157" t="s">
        <v>3393</v>
      </c>
      <c r="B1055" s="36" t="s">
        <v>3394</v>
      </c>
      <c r="C1055" s="267">
        <v>0</v>
      </c>
      <c r="D1055" s="268">
        <f t="shared" si="221"/>
        <v>0</v>
      </c>
      <c r="E1055" s="267"/>
      <c r="F1055" s="267"/>
      <c r="G1055" s="267"/>
      <c r="H1055" s="267"/>
      <c r="I1055" s="287"/>
      <c r="J1055" s="288">
        <f t="shared" si="218"/>
        <v>0</v>
      </c>
      <c r="K1055" s="276" t="s">
        <v>1087</v>
      </c>
      <c r="L1055" s="33">
        <v>1</v>
      </c>
      <c r="M1055" s="157" t="s">
        <v>3393</v>
      </c>
      <c r="N1055" s="157"/>
      <c r="O1055" s="157" t="s">
        <v>615</v>
      </c>
      <c r="P1055" s="163" t="s">
        <v>3395</v>
      </c>
    </row>
    <row r="1056" s="92" customFormat="1" ht="20.1" customHeight="1" spans="1:16">
      <c r="A1056" s="157" t="s">
        <v>3396</v>
      </c>
      <c r="B1056" s="36" t="s">
        <v>3397</v>
      </c>
      <c r="C1056" s="267">
        <v>0</v>
      </c>
      <c r="D1056" s="268">
        <f t="shared" si="221"/>
        <v>0</v>
      </c>
      <c r="E1056" s="267"/>
      <c r="F1056" s="267"/>
      <c r="G1056" s="267"/>
      <c r="H1056" s="267"/>
      <c r="I1056" s="287"/>
      <c r="J1056" s="288">
        <f t="shared" si="218"/>
        <v>0</v>
      </c>
      <c r="K1056" s="276" t="s">
        <v>1087</v>
      </c>
      <c r="L1056" s="33">
        <v>1</v>
      </c>
      <c r="M1056" s="157" t="s">
        <v>3396</v>
      </c>
      <c r="N1056" s="157"/>
      <c r="O1056" s="157" t="s">
        <v>615</v>
      </c>
      <c r="P1056" s="163" t="s">
        <v>3398</v>
      </c>
    </row>
    <row r="1057" s="92" customFormat="1" ht="20.1" customHeight="1" spans="1:16">
      <c r="A1057" s="157" t="s">
        <v>3399</v>
      </c>
      <c r="B1057" s="36" t="s">
        <v>3400</v>
      </c>
      <c r="C1057" s="267">
        <v>0</v>
      </c>
      <c r="D1057" s="268">
        <f t="shared" si="221"/>
        <v>0</v>
      </c>
      <c r="E1057" s="267"/>
      <c r="F1057" s="267"/>
      <c r="G1057" s="267"/>
      <c r="H1057" s="267"/>
      <c r="I1057" s="287"/>
      <c r="J1057" s="288">
        <f t="shared" si="218"/>
        <v>0</v>
      </c>
      <c r="K1057" s="276" t="s">
        <v>1087</v>
      </c>
      <c r="L1057" s="33">
        <v>1</v>
      </c>
      <c r="M1057" s="157" t="s">
        <v>3399</v>
      </c>
      <c r="N1057" s="157"/>
      <c r="O1057" s="157" t="s">
        <v>615</v>
      </c>
      <c r="P1057" s="163" t="s">
        <v>3401</v>
      </c>
    </row>
    <row r="1058" s="92" customFormat="1" ht="20.1" customHeight="1" spans="1:16">
      <c r="A1058" s="157" t="s">
        <v>3402</v>
      </c>
      <c r="B1058" s="36" t="s">
        <v>3403</v>
      </c>
      <c r="C1058" s="267">
        <v>324</v>
      </c>
      <c r="D1058" s="268">
        <f t="shared" si="221"/>
        <v>153</v>
      </c>
      <c r="E1058" s="267"/>
      <c r="F1058" s="267"/>
      <c r="G1058" s="267">
        <v>153</v>
      </c>
      <c r="H1058" s="267"/>
      <c r="I1058" s="287"/>
      <c r="J1058" s="288">
        <f t="shared" si="218"/>
        <v>47.22</v>
      </c>
      <c r="K1058" s="276" t="s">
        <v>1087</v>
      </c>
      <c r="L1058" s="33">
        <v>1</v>
      </c>
      <c r="M1058" s="157" t="s">
        <v>3402</v>
      </c>
      <c r="N1058" s="157"/>
      <c r="O1058" s="157" t="s">
        <v>615</v>
      </c>
      <c r="P1058" s="163" t="s">
        <v>3404</v>
      </c>
    </row>
    <row r="1059" s="93" customFormat="1" ht="20.1" customHeight="1" spans="1:16">
      <c r="A1059" s="263" t="s">
        <v>616</v>
      </c>
      <c r="B1059" s="297" t="s">
        <v>3405</v>
      </c>
      <c r="C1059" s="265">
        <f t="shared" ref="C1059:I1059" si="225">SUM(C1060:C1063)</f>
        <v>0</v>
      </c>
      <c r="D1059" s="265">
        <f t="shared" si="221"/>
        <v>0</v>
      </c>
      <c r="E1059" s="265">
        <f t="shared" si="225"/>
        <v>0</v>
      </c>
      <c r="F1059" s="265">
        <f t="shared" si="225"/>
        <v>0</v>
      </c>
      <c r="G1059" s="265">
        <f t="shared" si="225"/>
        <v>0</v>
      </c>
      <c r="H1059" s="265">
        <f t="shared" si="225"/>
        <v>0</v>
      </c>
      <c r="I1059" s="265">
        <f t="shared" si="225"/>
        <v>0</v>
      </c>
      <c r="J1059" s="298">
        <f t="shared" si="218"/>
        <v>0</v>
      </c>
      <c r="K1059" s="284" t="s">
        <v>1082</v>
      </c>
      <c r="L1059" s="285"/>
      <c r="M1059" s="263" t="s">
        <v>616</v>
      </c>
      <c r="N1059" s="263" t="s">
        <v>613</v>
      </c>
      <c r="O1059" s="263" t="s">
        <v>616</v>
      </c>
      <c r="P1059" s="286" t="s">
        <v>3406</v>
      </c>
    </row>
    <row r="1060" s="92" customFormat="1" ht="20.1" customHeight="1" spans="1:16">
      <c r="A1060" s="157" t="s">
        <v>3407</v>
      </c>
      <c r="B1060" s="36" t="s">
        <v>1086</v>
      </c>
      <c r="C1060" s="267">
        <v>0</v>
      </c>
      <c r="D1060" s="268">
        <f t="shared" si="221"/>
        <v>0</v>
      </c>
      <c r="E1060" s="267"/>
      <c r="F1060" s="267"/>
      <c r="G1060" s="267"/>
      <c r="H1060" s="267"/>
      <c r="I1060" s="287"/>
      <c r="J1060" s="288">
        <f t="shared" si="218"/>
        <v>0</v>
      </c>
      <c r="K1060" s="276" t="s">
        <v>1087</v>
      </c>
      <c r="L1060" s="33">
        <v>1</v>
      </c>
      <c r="M1060" s="157" t="s">
        <v>3407</v>
      </c>
      <c r="N1060" s="157"/>
      <c r="O1060" s="157" t="s">
        <v>616</v>
      </c>
      <c r="P1060" s="164" t="s">
        <v>1088</v>
      </c>
    </row>
    <row r="1061" s="92" customFormat="1" ht="20.1" customHeight="1" spans="1:16">
      <c r="A1061" s="157" t="s">
        <v>3408</v>
      </c>
      <c r="B1061" s="36" t="s">
        <v>1090</v>
      </c>
      <c r="C1061" s="267">
        <v>0</v>
      </c>
      <c r="D1061" s="268">
        <f t="shared" si="221"/>
        <v>0</v>
      </c>
      <c r="E1061" s="267"/>
      <c r="F1061" s="267"/>
      <c r="G1061" s="267"/>
      <c r="H1061" s="267"/>
      <c r="I1061" s="287"/>
      <c r="J1061" s="288">
        <f t="shared" si="218"/>
        <v>0</v>
      </c>
      <c r="K1061" s="276" t="s">
        <v>1087</v>
      </c>
      <c r="L1061" s="33">
        <v>1</v>
      </c>
      <c r="M1061" s="157" t="s">
        <v>3408</v>
      </c>
      <c r="N1061" s="157"/>
      <c r="O1061" s="157" t="s">
        <v>616</v>
      </c>
      <c r="P1061" s="164" t="s">
        <v>1091</v>
      </c>
    </row>
    <row r="1062" s="92" customFormat="1" ht="20.1" customHeight="1" spans="1:16">
      <c r="A1062" s="157" t="s">
        <v>3409</v>
      </c>
      <c r="B1062" s="36" t="s">
        <v>1093</v>
      </c>
      <c r="C1062" s="267">
        <v>0</v>
      </c>
      <c r="D1062" s="268">
        <f t="shared" si="221"/>
        <v>0</v>
      </c>
      <c r="E1062" s="267"/>
      <c r="F1062" s="267"/>
      <c r="G1062" s="267"/>
      <c r="H1062" s="267"/>
      <c r="I1062" s="287"/>
      <c r="J1062" s="288">
        <f t="shared" si="218"/>
        <v>0</v>
      </c>
      <c r="K1062" s="276" t="s">
        <v>1087</v>
      </c>
      <c r="L1062" s="33">
        <v>1</v>
      </c>
      <c r="M1062" s="157" t="s">
        <v>3409</v>
      </c>
      <c r="N1062" s="157"/>
      <c r="O1062" s="157" t="s">
        <v>616</v>
      </c>
      <c r="P1062" s="164" t="s">
        <v>1094</v>
      </c>
    </row>
    <row r="1063" s="92" customFormat="1" ht="20.1" customHeight="1" spans="1:16">
      <c r="A1063" s="157" t="s">
        <v>3410</v>
      </c>
      <c r="B1063" s="36" t="s">
        <v>3411</v>
      </c>
      <c r="C1063" s="267">
        <v>0</v>
      </c>
      <c r="D1063" s="268">
        <f t="shared" si="221"/>
        <v>0</v>
      </c>
      <c r="E1063" s="267"/>
      <c r="F1063" s="267"/>
      <c r="G1063" s="267"/>
      <c r="H1063" s="267"/>
      <c r="I1063" s="287"/>
      <c r="J1063" s="288">
        <f t="shared" si="218"/>
        <v>0</v>
      </c>
      <c r="K1063" s="276" t="s">
        <v>1087</v>
      </c>
      <c r="L1063" s="33">
        <v>1</v>
      </c>
      <c r="M1063" s="157" t="s">
        <v>3410</v>
      </c>
      <c r="N1063" s="157"/>
      <c r="O1063" s="157" t="s">
        <v>616</v>
      </c>
      <c r="P1063" s="163" t="s">
        <v>3412</v>
      </c>
    </row>
    <row r="1064" s="93" customFormat="1" ht="20.1" customHeight="1" spans="1:16">
      <c r="A1064" s="263" t="s">
        <v>617</v>
      </c>
      <c r="B1064" s="297" t="s">
        <v>3413</v>
      </c>
      <c r="C1064" s="265">
        <f t="shared" ref="C1064:I1064" si="226">SUM(C1065:C1074)</f>
        <v>49</v>
      </c>
      <c r="D1064" s="265">
        <f t="shared" si="221"/>
        <v>0</v>
      </c>
      <c r="E1064" s="265">
        <f t="shared" si="226"/>
        <v>0</v>
      </c>
      <c r="F1064" s="265">
        <f t="shared" si="226"/>
        <v>0</v>
      </c>
      <c r="G1064" s="265">
        <f t="shared" si="226"/>
        <v>0</v>
      </c>
      <c r="H1064" s="265">
        <f t="shared" si="226"/>
        <v>0</v>
      </c>
      <c r="I1064" s="265">
        <f t="shared" si="226"/>
        <v>0</v>
      </c>
      <c r="J1064" s="298">
        <f t="shared" si="218"/>
        <v>-100</v>
      </c>
      <c r="K1064" s="284" t="s">
        <v>1082</v>
      </c>
      <c r="L1064" s="285"/>
      <c r="M1064" s="263" t="s">
        <v>617</v>
      </c>
      <c r="N1064" s="263" t="s">
        <v>613</v>
      </c>
      <c r="O1064" s="263" t="s">
        <v>617</v>
      </c>
      <c r="P1064" s="286" t="s">
        <v>3414</v>
      </c>
    </row>
    <row r="1065" s="92" customFormat="1" ht="20.1" customHeight="1" spans="1:16">
      <c r="A1065" s="157" t="s">
        <v>3415</v>
      </c>
      <c r="B1065" s="36" t="s">
        <v>1086</v>
      </c>
      <c r="C1065" s="267">
        <v>0</v>
      </c>
      <c r="D1065" s="268">
        <f t="shared" si="221"/>
        <v>0</v>
      </c>
      <c r="E1065" s="267"/>
      <c r="F1065" s="267"/>
      <c r="G1065" s="267"/>
      <c r="H1065" s="267"/>
      <c r="I1065" s="287"/>
      <c r="J1065" s="288">
        <f t="shared" si="218"/>
        <v>0</v>
      </c>
      <c r="K1065" s="276" t="s">
        <v>1087</v>
      </c>
      <c r="L1065" s="33">
        <v>1</v>
      </c>
      <c r="M1065" s="157" t="s">
        <v>3415</v>
      </c>
      <c r="N1065" s="157"/>
      <c r="O1065" s="157" t="s">
        <v>617</v>
      </c>
      <c r="P1065" s="164" t="s">
        <v>1088</v>
      </c>
    </row>
    <row r="1066" s="92" customFormat="1" ht="20.1" customHeight="1" spans="1:16">
      <c r="A1066" s="157" t="s">
        <v>3416</v>
      </c>
      <c r="B1066" s="36" t="s">
        <v>1090</v>
      </c>
      <c r="C1066" s="267">
        <v>0</v>
      </c>
      <c r="D1066" s="268">
        <f t="shared" si="221"/>
        <v>0</v>
      </c>
      <c r="E1066" s="267"/>
      <c r="F1066" s="267"/>
      <c r="G1066" s="267"/>
      <c r="H1066" s="267"/>
      <c r="I1066" s="287"/>
      <c r="J1066" s="288">
        <f t="shared" si="218"/>
        <v>0</v>
      </c>
      <c r="K1066" s="276" t="s">
        <v>1087</v>
      </c>
      <c r="L1066" s="33">
        <v>1</v>
      </c>
      <c r="M1066" s="157" t="s">
        <v>3416</v>
      </c>
      <c r="N1066" s="157"/>
      <c r="O1066" s="157" t="s">
        <v>617</v>
      </c>
      <c r="P1066" s="164" t="s">
        <v>1091</v>
      </c>
    </row>
    <row r="1067" s="92" customFormat="1" ht="20.1" customHeight="1" spans="1:16">
      <c r="A1067" s="157" t="s">
        <v>3417</v>
      </c>
      <c r="B1067" s="36" t="s">
        <v>1093</v>
      </c>
      <c r="C1067" s="267">
        <v>0</v>
      </c>
      <c r="D1067" s="268">
        <f t="shared" si="221"/>
        <v>0</v>
      </c>
      <c r="E1067" s="267"/>
      <c r="F1067" s="267"/>
      <c r="G1067" s="267"/>
      <c r="H1067" s="267"/>
      <c r="I1067" s="287"/>
      <c r="J1067" s="288">
        <f t="shared" si="218"/>
        <v>0</v>
      </c>
      <c r="K1067" s="276" t="s">
        <v>1087</v>
      </c>
      <c r="L1067" s="33">
        <v>1</v>
      </c>
      <c r="M1067" s="157" t="s">
        <v>3417</v>
      </c>
      <c r="N1067" s="157"/>
      <c r="O1067" s="157" t="s">
        <v>617</v>
      </c>
      <c r="P1067" s="164" t="s">
        <v>1094</v>
      </c>
    </row>
    <row r="1068" s="92" customFormat="1" ht="20.1" customHeight="1" spans="1:16">
      <c r="A1068" s="157" t="s">
        <v>3418</v>
      </c>
      <c r="B1068" s="36" t="s">
        <v>3419</v>
      </c>
      <c r="C1068" s="267">
        <v>0</v>
      </c>
      <c r="D1068" s="268">
        <f t="shared" si="221"/>
        <v>0</v>
      </c>
      <c r="E1068" s="267"/>
      <c r="F1068" s="267"/>
      <c r="G1068" s="267"/>
      <c r="H1068" s="267"/>
      <c r="I1068" s="287"/>
      <c r="J1068" s="288">
        <f t="shared" si="218"/>
        <v>0</v>
      </c>
      <c r="K1068" s="276" t="s">
        <v>1087</v>
      </c>
      <c r="L1068" s="33">
        <v>1</v>
      </c>
      <c r="M1068" s="157" t="s">
        <v>3418</v>
      </c>
      <c r="N1068" s="157"/>
      <c r="O1068" s="157" t="s">
        <v>617</v>
      </c>
      <c r="P1068" s="163" t="s">
        <v>3420</v>
      </c>
    </row>
    <row r="1069" s="92" customFormat="1" ht="20.1" customHeight="1" spans="1:16">
      <c r="A1069" s="157" t="s">
        <v>3421</v>
      </c>
      <c r="B1069" s="36" t="s">
        <v>3422</v>
      </c>
      <c r="C1069" s="267">
        <v>0</v>
      </c>
      <c r="D1069" s="268">
        <f t="shared" si="221"/>
        <v>0</v>
      </c>
      <c r="E1069" s="267"/>
      <c r="F1069" s="267"/>
      <c r="G1069" s="267"/>
      <c r="H1069" s="267"/>
      <c r="I1069" s="287"/>
      <c r="J1069" s="288">
        <f t="shared" si="218"/>
        <v>0</v>
      </c>
      <c r="K1069" s="276" t="s">
        <v>1087</v>
      </c>
      <c r="L1069" s="33">
        <v>1</v>
      </c>
      <c r="M1069" s="157" t="s">
        <v>3421</v>
      </c>
      <c r="N1069" s="157"/>
      <c r="O1069" s="157" t="s">
        <v>617</v>
      </c>
      <c r="P1069" s="163" t="s">
        <v>3423</v>
      </c>
    </row>
    <row r="1070" s="92" customFormat="1" ht="20.1" customHeight="1" spans="1:16">
      <c r="A1070" s="157" t="s">
        <v>3424</v>
      </c>
      <c r="B1070" s="36" t="s">
        <v>3425</v>
      </c>
      <c r="C1070" s="267">
        <v>0</v>
      </c>
      <c r="D1070" s="268">
        <f t="shared" si="221"/>
        <v>0</v>
      </c>
      <c r="E1070" s="267"/>
      <c r="F1070" s="267"/>
      <c r="G1070" s="267"/>
      <c r="H1070" s="267"/>
      <c r="I1070" s="287"/>
      <c r="J1070" s="288">
        <f t="shared" si="218"/>
        <v>0</v>
      </c>
      <c r="K1070" s="276" t="s">
        <v>1087</v>
      </c>
      <c r="L1070" s="33">
        <v>1</v>
      </c>
      <c r="M1070" s="157" t="s">
        <v>3424</v>
      </c>
      <c r="N1070" s="157"/>
      <c r="O1070" s="157" t="s">
        <v>617</v>
      </c>
      <c r="P1070" s="163" t="s">
        <v>3426</v>
      </c>
    </row>
    <row r="1071" s="92" customFormat="1" ht="20.1" customHeight="1" spans="1:16">
      <c r="A1071" s="157" t="s">
        <v>3427</v>
      </c>
      <c r="B1071" s="36" t="s">
        <v>3428</v>
      </c>
      <c r="C1071" s="267"/>
      <c r="D1071" s="268">
        <f t="shared" si="221"/>
        <v>0</v>
      </c>
      <c r="E1071" s="267"/>
      <c r="F1071" s="267"/>
      <c r="G1071" s="267"/>
      <c r="H1071" s="267"/>
      <c r="I1071" s="287"/>
      <c r="J1071" s="288">
        <f t="shared" si="218"/>
        <v>0</v>
      </c>
      <c r="K1071" s="276" t="s">
        <v>1087</v>
      </c>
      <c r="L1071" s="33">
        <v>1</v>
      </c>
      <c r="M1071" s="157" t="s">
        <v>3427</v>
      </c>
      <c r="N1071" s="157"/>
      <c r="O1071" s="157" t="s">
        <v>617</v>
      </c>
      <c r="P1071" s="36" t="s">
        <v>3429</v>
      </c>
    </row>
    <row r="1072" s="92" customFormat="1" ht="20.1" customHeight="1" spans="1:16">
      <c r="A1072" s="157" t="s">
        <v>3430</v>
      </c>
      <c r="B1072" s="36" t="s">
        <v>3431</v>
      </c>
      <c r="C1072" s="267"/>
      <c r="D1072" s="268">
        <f t="shared" si="221"/>
        <v>0</v>
      </c>
      <c r="E1072" s="267"/>
      <c r="F1072" s="267"/>
      <c r="G1072" s="267"/>
      <c r="H1072" s="267"/>
      <c r="I1072" s="287"/>
      <c r="J1072" s="288">
        <f t="shared" si="218"/>
        <v>0</v>
      </c>
      <c r="K1072" s="276" t="s">
        <v>1087</v>
      </c>
      <c r="L1072" s="33">
        <v>1</v>
      </c>
      <c r="M1072" s="157" t="s">
        <v>3430</v>
      </c>
      <c r="N1072" s="157"/>
      <c r="O1072" s="157" t="s">
        <v>617</v>
      </c>
      <c r="P1072" s="36" t="s">
        <v>3432</v>
      </c>
    </row>
    <row r="1073" s="92" customFormat="1" ht="20.1" customHeight="1" spans="1:16">
      <c r="A1073" s="157" t="s">
        <v>3433</v>
      </c>
      <c r="B1073" s="36" t="s">
        <v>1114</v>
      </c>
      <c r="C1073" s="267"/>
      <c r="D1073" s="268">
        <f t="shared" si="221"/>
        <v>0</v>
      </c>
      <c r="E1073" s="267"/>
      <c r="F1073" s="267"/>
      <c r="G1073" s="267"/>
      <c r="H1073" s="267"/>
      <c r="I1073" s="287"/>
      <c r="J1073" s="288">
        <f t="shared" si="218"/>
        <v>0</v>
      </c>
      <c r="K1073" s="276" t="s">
        <v>1087</v>
      </c>
      <c r="L1073" s="33">
        <v>1</v>
      </c>
      <c r="M1073" s="157" t="s">
        <v>3433</v>
      </c>
      <c r="N1073" s="157"/>
      <c r="O1073" s="157" t="s">
        <v>617</v>
      </c>
      <c r="P1073" s="36" t="s">
        <v>1115</v>
      </c>
    </row>
    <row r="1074" s="92" customFormat="1" ht="20.1" customHeight="1" spans="1:16">
      <c r="A1074" s="157" t="s">
        <v>3434</v>
      </c>
      <c r="B1074" s="36" t="s">
        <v>3435</v>
      </c>
      <c r="C1074" s="267">
        <v>49</v>
      </c>
      <c r="D1074" s="268">
        <f t="shared" si="221"/>
        <v>0</v>
      </c>
      <c r="E1074" s="267"/>
      <c r="F1074" s="267"/>
      <c r="G1074" s="267"/>
      <c r="H1074" s="267"/>
      <c r="I1074" s="287"/>
      <c r="J1074" s="288">
        <f t="shared" si="218"/>
        <v>-100</v>
      </c>
      <c r="K1074" s="276" t="s">
        <v>1087</v>
      </c>
      <c r="L1074" s="33">
        <v>1</v>
      </c>
      <c r="M1074" s="157" t="s">
        <v>3434</v>
      </c>
      <c r="N1074" s="157"/>
      <c r="O1074" s="157" t="s">
        <v>617</v>
      </c>
      <c r="P1074" s="163" t="s">
        <v>3436</v>
      </c>
    </row>
    <row r="1075" s="93" customFormat="1" ht="20.1" customHeight="1" spans="1:16">
      <c r="A1075" s="263" t="s">
        <v>618</v>
      </c>
      <c r="B1075" s="297" t="s">
        <v>3437</v>
      </c>
      <c r="C1075" s="265">
        <f t="shared" ref="C1075:I1075" si="227">SUM(C1076:C1081)</f>
        <v>0</v>
      </c>
      <c r="D1075" s="265">
        <f t="shared" si="221"/>
        <v>0</v>
      </c>
      <c r="E1075" s="265">
        <f t="shared" si="227"/>
        <v>0</v>
      </c>
      <c r="F1075" s="265">
        <f t="shared" si="227"/>
        <v>0</v>
      </c>
      <c r="G1075" s="265">
        <f t="shared" si="227"/>
        <v>0</v>
      </c>
      <c r="H1075" s="265">
        <f t="shared" si="227"/>
        <v>0</v>
      </c>
      <c r="I1075" s="265">
        <f t="shared" si="227"/>
        <v>0</v>
      </c>
      <c r="J1075" s="298">
        <f t="shared" si="218"/>
        <v>0</v>
      </c>
      <c r="K1075" s="284" t="s">
        <v>1082</v>
      </c>
      <c r="L1075" s="285"/>
      <c r="M1075" s="263" t="s">
        <v>618</v>
      </c>
      <c r="N1075" s="263" t="s">
        <v>613</v>
      </c>
      <c r="O1075" s="263" t="s">
        <v>618</v>
      </c>
      <c r="P1075" s="286" t="s">
        <v>3438</v>
      </c>
    </row>
    <row r="1076" s="92" customFormat="1" ht="20.1" customHeight="1" spans="1:16">
      <c r="A1076" s="157" t="s">
        <v>3439</v>
      </c>
      <c r="B1076" s="36" t="s">
        <v>1086</v>
      </c>
      <c r="C1076" s="267">
        <v>0</v>
      </c>
      <c r="D1076" s="268">
        <f t="shared" si="221"/>
        <v>0</v>
      </c>
      <c r="E1076" s="267"/>
      <c r="F1076" s="267"/>
      <c r="G1076" s="267"/>
      <c r="H1076" s="267"/>
      <c r="I1076" s="287"/>
      <c r="J1076" s="288">
        <f t="shared" si="218"/>
        <v>0</v>
      </c>
      <c r="K1076" s="276" t="s">
        <v>1087</v>
      </c>
      <c r="L1076" s="33">
        <v>1</v>
      </c>
      <c r="M1076" s="157" t="s">
        <v>3439</v>
      </c>
      <c r="N1076" s="157"/>
      <c r="O1076" s="157" t="s">
        <v>618</v>
      </c>
      <c r="P1076" s="164" t="s">
        <v>1088</v>
      </c>
    </row>
    <row r="1077" s="92" customFormat="1" ht="20.1" customHeight="1" spans="1:16">
      <c r="A1077" s="157" t="s">
        <v>3440</v>
      </c>
      <c r="B1077" s="36" t="s">
        <v>1090</v>
      </c>
      <c r="C1077" s="267">
        <v>0</v>
      </c>
      <c r="D1077" s="268">
        <f t="shared" si="221"/>
        <v>0</v>
      </c>
      <c r="E1077" s="267"/>
      <c r="F1077" s="267"/>
      <c r="G1077" s="267"/>
      <c r="H1077" s="267"/>
      <c r="I1077" s="287"/>
      <c r="J1077" s="288">
        <f t="shared" si="218"/>
        <v>0</v>
      </c>
      <c r="K1077" s="276" t="s">
        <v>1087</v>
      </c>
      <c r="L1077" s="33">
        <v>1</v>
      </c>
      <c r="M1077" s="157" t="s">
        <v>3440</v>
      </c>
      <c r="N1077" s="157"/>
      <c r="O1077" s="157" t="s">
        <v>618</v>
      </c>
      <c r="P1077" s="164" t="s">
        <v>1091</v>
      </c>
    </row>
    <row r="1078" s="92" customFormat="1" ht="20.1" customHeight="1" spans="1:16">
      <c r="A1078" s="157" t="s">
        <v>3441</v>
      </c>
      <c r="B1078" s="36" t="s">
        <v>1093</v>
      </c>
      <c r="C1078" s="267">
        <v>0</v>
      </c>
      <c r="D1078" s="268">
        <f t="shared" si="221"/>
        <v>0</v>
      </c>
      <c r="E1078" s="267"/>
      <c r="F1078" s="267"/>
      <c r="G1078" s="267"/>
      <c r="H1078" s="267"/>
      <c r="I1078" s="287"/>
      <c r="J1078" s="288">
        <f t="shared" ref="J1078:J1087" si="228">ROUND(IF(C1078=0,IF(D1078=0,0,1),IF(D1078=0,-1,D1078/C1078)),4)*100</f>
        <v>0</v>
      </c>
      <c r="K1078" s="276" t="s">
        <v>1087</v>
      </c>
      <c r="L1078" s="33">
        <v>1</v>
      </c>
      <c r="M1078" s="157" t="s">
        <v>3441</v>
      </c>
      <c r="N1078" s="157"/>
      <c r="O1078" s="157" t="s">
        <v>618</v>
      </c>
      <c r="P1078" s="164" t="s">
        <v>1094</v>
      </c>
    </row>
    <row r="1079" s="92" customFormat="1" ht="20.1" customHeight="1" spans="1:16">
      <c r="A1079" s="157" t="s">
        <v>3442</v>
      </c>
      <c r="B1079" s="36" t="s">
        <v>3443</v>
      </c>
      <c r="C1079" s="267">
        <v>0</v>
      </c>
      <c r="D1079" s="268">
        <f t="shared" si="221"/>
        <v>0</v>
      </c>
      <c r="E1079" s="267"/>
      <c r="F1079" s="267"/>
      <c r="G1079" s="267"/>
      <c r="H1079" s="267"/>
      <c r="I1079" s="287"/>
      <c r="J1079" s="288">
        <f t="shared" si="228"/>
        <v>0</v>
      </c>
      <c r="K1079" s="276" t="s">
        <v>1087</v>
      </c>
      <c r="L1079" s="33">
        <v>1</v>
      </c>
      <c r="M1079" s="157" t="s">
        <v>3442</v>
      </c>
      <c r="N1079" s="157"/>
      <c r="O1079" s="157" t="s">
        <v>618</v>
      </c>
      <c r="P1079" s="163" t="s">
        <v>3444</v>
      </c>
    </row>
    <row r="1080" s="92" customFormat="1" ht="20.1" customHeight="1" spans="1:16">
      <c r="A1080" s="157" t="s">
        <v>3445</v>
      </c>
      <c r="B1080" s="36" t="s">
        <v>3446</v>
      </c>
      <c r="C1080" s="267"/>
      <c r="D1080" s="268">
        <f t="shared" si="221"/>
        <v>0</v>
      </c>
      <c r="E1080" s="267"/>
      <c r="F1080" s="267"/>
      <c r="G1080" s="267"/>
      <c r="H1080" s="267"/>
      <c r="I1080" s="287"/>
      <c r="J1080" s="288"/>
      <c r="K1080" s="276" t="s">
        <v>1087</v>
      </c>
      <c r="L1080" s="33">
        <v>1</v>
      </c>
      <c r="M1080" s="157" t="s">
        <v>3445</v>
      </c>
      <c r="N1080" s="157"/>
      <c r="O1080" s="157" t="s">
        <v>618</v>
      </c>
      <c r="P1080" s="157" t="s">
        <v>3447</v>
      </c>
    </row>
    <row r="1081" s="92" customFormat="1" ht="20.1" customHeight="1" spans="1:16">
      <c r="A1081" s="157" t="s">
        <v>3448</v>
      </c>
      <c r="B1081" s="36" t="s">
        <v>3449</v>
      </c>
      <c r="C1081" s="267"/>
      <c r="D1081" s="268">
        <f t="shared" si="221"/>
        <v>0</v>
      </c>
      <c r="E1081" s="267"/>
      <c r="F1081" s="267"/>
      <c r="G1081" s="267"/>
      <c r="H1081" s="267"/>
      <c r="I1081" s="287"/>
      <c r="J1081" s="288">
        <f t="shared" si="228"/>
        <v>0</v>
      </c>
      <c r="K1081" s="276" t="s">
        <v>1087</v>
      </c>
      <c r="L1081" s="33">
        <v>1</v>
      </c>
      <c r="M1081" s="157" t="s">
        <v>3448</v>
      </c>
      <c r="N1081" s="157"/>
      <c r="O1081" s="157" t="s">
        <v>618</v>
      </c>
      <c r="P1081" s="163" t="s">
        <v>3450</v>
      </c>
    </row>
    <row r="1082" s="93" customFormat="1" ht="20.1" customHeight="1" spans="1:16">
      <c r="A1082" s="263" t="s">
        <v>619</v>
      </c>
      <c r="B1082" s="297" t="s">
        <v>3451</v>
      </c>
      <c r="C1082" s="265">
        <f t="shared" ref="C1082:I1082" si="229">SUM(C1083:C1089)</f>
        <v>0</v>
      </c>
      <c r="D1082" s="265">
        <f t="shared" si="221"/>
        <v>0</v>
      </c>
      <c r="E1082" s="265">
        <f t="shared" si="229"/>
        <v>0</v>
      </c>
      <c r="F1082" s="265">
        <f t="shared" si="229"/>
        <v>0</v>
      </c>
      <c r="G1082" s="265">
        <f t="shared" si="229"/>
        <v>0</v>
      </c>
      <c r="H1082" s="265">
        <f t="shared" si="229"/>
        <v>0</v>
      </c>
      <c r="I1082" s="265">
        <f t="shared" si="229"/>
        <v>0</v>
      </c>
      <c r="J1082" s="298">
        <f t="shared" si="228"/>
        <v>0</v>
      </c>
      <c r="K1082" s="284" t="s">
        <v>1082</v>
      </c>
      <c r="L1082" s="285"/>
      <c r="M1082" s="263" t="s">
        <v>619</v>
      </c>
      <c r="N1082" s="263" t="s">
        <v>613</v>
      </c>
      <c r="O1082" s="263" t="s">
        <v>619</v>
      </c>
      <c r="P1082" s="286" t="s">
        <v>3452</v>
      </c>
    </row>
    <row r="1083" s="92" customFormat="1" ht="20.1" customHeight="1" spans="1:16">
      <c r="A1083" s="157" t="s">
        <v>3453</v>
      </c>
      <c r="B1083" s="36" t="s">
        <v>1086</v>
      </c>
      <c r="C1083" s="267"/>
      <c r="D1083" s="268">
        <f t="shared" si="221"/>
        <v>0</v>
      </c>
      <c r="E1083" s="267"/>
      <c r="F1083" s="267"/>
      <c r="G1083" s="267"/>
      <c r="H1083" s="267"/>
      <c r="I1083" s="287"/>
      <c r="J1083" s="288">
        <f t="shared" si="228"/>
        <v>0</v>
      </c>
      <c r="K1083" s="276" t="s">
        <v>1087</v>
      </c>
      <c r="L1083" s="33">
        <v>1</v>
      </c>
      <c r="M1083" s="157" t="s">
        <v>3453</v>
      </c>
      <c r="N1083" s="157"/>
      <c r="O1083" s="157" t="s">
        <v>619</v>
      </c>
      <c r="P1083" s="164" t="s">
        <v>1088</v>
      </c>
    </row>
    <row r="1084" s="92" customFormat="1" ht="20.1" customHeight="1" spans="1:16">
      <c r="A1084" s="157" t="s">
        <v>3454</v>
      </c>
      <c r="B1084" s="36" t="s">
        <v>1090</v>
      </c>
      <c r="C1084" s="267">
        <v>0</v>
      </c>
      <c r="D1084" s="268">
        <f t="shared" si="221"/>
        <v>0</v>
      </c>
      <c r="E1084" s="267"/>
      <c r="F1084" s="267"/>
      <c r="G1084" s="267"/>
      <c r="H1084" s="267"/>
      <c r="I1084" s="287"/>
      <c r="J1084" s="288">
        <f t="shared" si="228"/>
        <v>0</v>
      </c>
      <c r="K1084" s="276" t="s">
        <v>1087</v>
      </c>
      <c r="L1084" s="33">
        <v>1</v>
      </c>
      <c r="M1084" s="157" t="s">
        <v>3454</v>
      </c>
      <c r="N1084" s="157"/>
      <c r="O1084" s="157" t="s">
        <v>619</v>
      </c>
      <c r="P1084" s="164" t="s">
        <v>1091</v>
      </c>
    </row>
    <row r="1085" s="92" customFormat="1" ht="20.1" customHeight="1" spans="1:16">
      <c r="A1085" s="157" t="s">
        <v>3455</v>
      </c>
      <c r="B1085" s="36" t="s">
        <v>1093</v>
      </c>
      <c r="C1085" s="267">
        <v>0</v>
      </c>
      <c r="D1085" s="268">
        <f t="shared" si="221"/>
        <v>0</v>
      </c>
      <c r="E1085" s="267"/>
      <c r="F1085" s="267"/>
      <c r="G1085" s="267"/>
      <c r="H1085" s="267"/>
      <c r="I1085" s="287"/>
      <c r="J1085" s="288">
        <f t="shared" si="228"/>
        <v>0</v>
      </c>
      <c r="K1085" s="276" t="s">
        <v>1087</v>
      </c>
      <c r="L1085" s="33">
        <v>1</v>
      </c>
      <c r="M1085" s="157" t="s">
        <v>3455</v>
      </c>
      <c r="N1085" s="157"/>
      <c r="O1085" s="157" t="s">
        <v>619</v>
      </c>
      <c r="P1085" s="164" t="s">
        <v>1094</v>
      </c>
    </row>
    <row r="1086" s="92" customFormat="1" ht="20.1" customHeight="1" spans="1:16">
      <c r="A1086" s="157" t="s">
        <v>3456</v>
      </c>
      <c r="B1086" s="36" t="s">
        <v>3457</v>
      </c>
      <c r="C1086" s="267">
        <v>0</v>
      </c>
      <c r="D1086" s="268">
        <f t="shared" si="221"/>
        <v>0</v>
      </c>
      <c r="E1086" s="267"/>
      <c r="F1086" s="267"/>
      <c r="G1086" s="267"/>
      <c r="H1086" s="267"/>
      <c r="I1086" s="287"/>
      <c r="J1086" s="288">
        <f t="shared" si="228"/>
        <v>0</v>
      </c>
      <c r="K1086" s="276" t="s">
        <v>1087</v>
      </c>
      <c r="L1086" s="33">
        <v>1</v>
      </c>
      <c r="M1086" s="157" t="s">
        <v>3456</v>
      </c>
      <c r="N1086" s="157"/>
      <c r="O1086" s="157" t="s">
        <v>619</v>
      </c>
      <c r="P1086" s="163" t="s">
        <v>3458</v>
      </c>
    </row>
    <row r="1087" s="92" customFormat="1" ht="20.1" customHeight="1" spans="1:16">
      <c r="A1087" s="157" t="s">
        <v>3459</v>
      </c>
      <c r="B1087" s="36" t="s">
        <v>3460</v>
      </c>
      <c r="C1087" s="267">
        <v>0</v>
      </c>
      <c r="D1087" s="268">
        <f t="shared" si="221"/>
        <v>0</v>
      </c>
      <c r="E1087" s="267"/>
      <c r="F1087" s="267"/>
      <c r="G1087" s="267"/>
      <c r="H1087" s="267"/>
      <c r="I1087" s="287"/>
      <c r="J1087" s="288">
        <f t="shared" si="228"/>
        <v>0</v>
      </c>
      <c r="K1087" s="276" t="s">
        <v>1087</v>
      </c>
      <c r="L1087" s="33">
        <v>1</v>
      </c>
      <c r="M1087" s="157" t="s">
        <v>3459</v>
      </c>
      <c r="N1087" s="157"/>
      <c r="O1087" s="157" t="s">
        <v>619</v>
      </c>
      <c r="P1087" s="163" t="s">
        <v>3461</v>
      </c>
    </row>
    <row r="1088" s="92" customFormat="1" ht="20.1" customHeight="1" spans="1:16">
      <c r="A1088" s="157" t="s">
        <v>3462</v>
      </c>
      <c r="B1088" s="36" t="s">
        <v>3463</v>
      </c>
      <c r="C1088" s="267"/>
      <c r="D1088" s="268">
        <f t="shared" si="221"/>
        <v>0</v>
      </c>
      <c r="E1088" s="267"/>
      <c r="F1088" s="267"/>
      <c r="G1088" s="267"/>
      <c r="H1088" s="267"/>
      <c r="I1088" s="287"/>
      <c r="J1088" s="288"/>
      <c r="K1088" s="276" t="s">
        <v>1087</v>
      </c>
      <c r="L1088" s="33">
        <v>1</v>
      </c>
      <c r="M1088" s="157" t="s">
        <v>3462</v>
      </c>
      <c r="N1088" s="157"/>
      <c r="O1088" s="157" t="s">
        <v>619</v>
      </c>
      <c r="P1088" s="163" t="s">
        <v>3464</v>
      </c>
    </row>
    <row r="1089" s="92" customFormat="1" ht="20.1" customHeight="1" spans="1:16">
      <c r="A1089" s="157" t="s">
        <v>3465</v>
      </c>
      <c r="B1089" s="36" t="s">
        <v>3466</v>
      </c>
      <c r="C1089" s="267"/>
      <c r="D1089" s="268">
        <f t="shared" si="221"/>
        <v>0</v>
      </c>
      <c r="E1089" s="267"/>
      <c r="F1089" s="267"/>
      <c r="G1089" s="267"/>
      <c r="H1089" s="267"/>
      <c r="I1089" s="287"/>
      <c r="J1089" s="288">
        <f t="shared" ref="J1089:J1123" si="230">ROUND(IF(C1089=0,IF(D1089=0,0,1),IF(D1089=0,-1,D1089/C1089)),4)*100</f>
        <v>0</v>
      </c>
      <c r="K1089" s="276" t="s">
        <v>1087</v>
      </c>
      <c r="L1089" s="33">
        <v>1</v>
      </c>
      <c r="M1089" s="157" t="s">
        <v>3465</v>
      </c>
      <c r="N1089" s="157"/>
      <c r="O1089" s="157" t="s">
        <v>619</v>
      </c>
      <c r="P1089" s="163" t="s">
        <v>3467</v>
      </c>
    </row>
    <row r="1090" s="93" customFormat="1" ht="20.1" customHeight="1" spans="1:16">
      <c r="A1090" s="263" t="s">
        <v>620</v>
      </c>
      <c r="B1090" s="297" t="s">
        <v>3468</v>
      </c>
      <c r="C1090" s="265">
        <f t="shared" ref="C1090:I1090" si="231">SUM(C1091:C1095)</f>
        <v>700</v>
      </c>
      <c r="D1090" s="265">
        <f t="shared" si="221"/>
        <v>600</v>
      </c>
      <c r="E1090" s="265">
        <f t="shared" si="231"/>
        <v>0</v>
      </c>
      <c r="F1090" s="265">
        <f t="shared" si="231"/>
        <v>0</v>
      </c>
      <c r="G1090" s="265">
        <f t="shared" si="231"/>
        <v>600</v>
      </c>
      <c r="H1090" s="265">
        <f t="shared" si="231"/>
        <v>0</v>
      </c>
      <c r="I1090" s="265">
        <f t="shared" si="231"/>
        <v>0</v>
      </c>
      <c r="J1090" s="298">
        <f t="shared" si="230"/>
        <v>85.71</v>
      </c>
      <c r="K1090" s="284" t="s">
        <v>1082</v>
      </c>
      <c r="L1090" s="285"/>
      <c r="M1090" s="263" t="s">
        <v>620</v>
      </c>
      <c r="N1090" s="263" t="s">
        <v>613</v>
      </c>
      <c r="O1090" s="263" t="s">
        <v>620</v>
      </c>
      <c r="P1090" s="286" t="s">
        <v>3469</v>
      </c>
    </row>
    <row r="1091" s="92" customFormat="1" ht="20.1" customHeight="1" spans="1:16">
      <c r="A1091" s="157" t="s">
        <v>3470</v>
      </c>
      <c r="B1091" s="36" t="s">
        <v>3471</v>
      </c>
      <c r="C1091" s="267">
        <v>0</v>
      </c>
      <c r="D1091" s="268">
        <f t="shared" si="221"/>
        <v>0</v>
      </c>
      <c r="E1091" s="267"/>
      <c r="F1091" s="267"/>
      <c r="G1091" s="267"/>
      <c r="H1091" s="267"/>
      <c r="I1091" s="287"/>
      <c r="J1091" s="288">
        <f t="shared" si="230"/>
        <v>0</v>
      </c>
      <c r="K1091" s="276" t="s">
        <v>1087</v>
      </c>
      <c r="L1091" s="33">
        <v>1</v>
      </c>
      <c r="M1091" s="157" t="s">
        <v>3470</v>
      </c>
      <c r="N1091" s="157"/>
      <c r="O1091" s="157" t="s">
        <v>620</v>
      </c>
      <c r="P1091" s="163" t="s">
        <v>3472</v>
      </c>
    </row>
    <row r="1092" s="92" customFormat="1" ht="20.1" customHeight="1" spans="1:16">
      <c r="A1092" s="157" t="s">
        <v>3473</v>
      </c>
      <c r="B1092" s="36" t="s">
        <v>3474</v>
      </c>
      <c r="C1092" s="267">
        <v>0</v>
      </c>
      <c r="D1092" s="268">
        <f t="shared" si="221"/>
        <v>0</v>
      </c>
      <c r="E1092" s="267"/>
      <c r="F1092" s="267"/>
      <c r="G1092" s="267"/>
      <c r="H1092" s="267"/>
      <c r="I1092" s="287"/>
      <c r="J1092" s="288">
        <f t="shared" si="230"/>
        <v>0</v>
      </c>
      <c r="K1092" s="276" t="s">
        <v>1087</v>
      </c>
      <c r="L1092" s="33">
        <v>1</v>
      </c>
      <c r="M1092" s="157" t="s">
        <v>3473</v>
      </c>
      <c r="N1092" s="157"/>
      <c r="O1092" s="157" t="s">
        <v>620</v>
      </c>
      <c r="P1092" s="163" t="s">
        <v>3475</v>
      </c>
    </row>
    <row r="1093" s="92" customFormat="1" ht="20.1" customHeight="1" spans="1:16">
      <c r="A1093" s="157" t="s">
        <v>3476</v>
      </c>
      <c r="B1093" s="36" t="s">
        <v>3477</v>
      </c>
      <c r="C1093" s="267">
        <v>0</v>
      </c>
      <c r="D1093" s="268">
        <f t="shared" si="221"/>
        <v>0</v>
      </c>
      <c r="E1093" s="267"/>
      <c r="F1093" s="267"/>
      <c r="G1093" s="267"/>
      <c r="H1093" s="267"/>
      <c r="I1093" s="287"/>
      <c r="J1093" s="288">
        <f t="shared" si="230"/>
        <v>0</v>
      </c>
      <c r="K1093" s="276" t="s">
        <v>1087</v>
      </c>
      <c r="L1093" s="33">
        <v>1</v>
      </c>
      <c r="M1093" s="157" t="s">
        <v>3476</v>
      </c>
      <c r="N1093" s="157"/>
      <c r="O1093" s="157" t="s">
        <v>620</v>
      </c>
      <c r="P1093" s="163" t="s">
        <v>3478</v>
      </c>
    </row>
    <row r="1094" s="92" customFormat="1" ht="20.1" customHeight="1" spans="1:16">
      <c r="A1094" s="157" t="s">
        <v>3479</v>
      </c>
      <c r="B1094" s="36" t="s">
        <v>3480</v>
      </c>
      <c r="C1094" s="267">
        <v>0</v>
      </c>
      <c r="D1094" s="268">
        <f t="shared" ref="D1094:D1157" si="232">SUM(E1094:I1094)</f>
        <v>0</v>
      </c>
      <c r="E1094" s="267"/>
      <c r="F1094" s="267"/>
      <c r="G1094" s="267"/>
      <c r="H1094" s="267"/>
      <c r="I1094" s="287"/>
      <c r="J1094" s="288">
        <f t="shared" si="230"/>
        <v>0</v>
      </c>
      <c r="K1094" s="276" t="s">
        <v>1087</v>
      </c>
      <c r="L1094" s="33">
        <v>1</v>
      </c>
      <c r="M1094" s="157" t="s">
        <v>3479</v>
      </c>
      <c r="N1094" s="157"/>
      <c r="O1094" s="157" t="s">
        <v>620</v>
      </c>
      <c r="P1094" s="163" t="s">
        <v>3481</v>
      </c>
    </row>
    <row r="1095" s="92" customFormat="1" ht="20.1" customHeight="1" spans="1:16">
      <c r="A1095" s="157" t="s">
        <v>3482</v>
      </c>
      <c r="B1095" s="36" t="s">
        <v>382</v>
      </c>
      <c r="C1095" s="267">
        <v>700</v>
      </c>
      <c r="D1095" s="268">
        <f t="shared" si="232"/>
        <v>600</v>
      </c>
      <c r="E1095" s="267"/>
      <c r="F1095" s="267"/>
      <c r="G1095" s="267">
        <v>600</v>
      </c>
      <c r="H1095" s="267"/>
      <c r="I1095" s="287"/>
      <c r="J1095" s="288">
        <f t="shared" si="230"/>
        <v>85.71</v>
      </c>
      <c r="K1095" s="276" t="s">
        <v>1087</v>
      </c>
      <c r="L1095" s="33">
        <v>1</v>
      </c>
      <c r="M1095" s="157" t="s">
        <v>3482</v>
      </c>
      <c r="N1095" s="157"/>
      <c r="O1095" s="157" t="s">
        <v>620</v>
      </c>
      <c r="P1095" s="163" t="s">
        <v>3469</v>
      </c>
    </row>
    <row r="1096" s="93" customFormat="1" ht="20.1" customHeight="1" spans="1:16">
      <c r="A1096" s="154" t="s">
        <v>621</v>
      </c>
      <c r="B1096" s="261" t="s">
        <v>383</v>
      </c>
      <c r="C1096" s="262">
        <f t="shared" ref="C1096:I1096" si="233">C1097+C1107+C1113</f>
        <v>538</v>
      </c>
      <c r="D1096" s="262">
        <f t="shared" si="232"/>
        <v>107</v>
      </c>
      <c r="E1096" s="262">
        <f t="shared" si="233"/>
        <v>0</v>
      </c>
      <c r="F1096" s="262">
        <f t="shared" si="233"/>
        <v>0</v>
      </c>
      <c r="G1096" s="262">
        <f t="shared" si="233"/>
        <v>0</v>
      </c>
      <c r="H1096" s="262">
        <f t="shared" si="233"/>
        <v>0</v>
      </c>
      <c r="I1096" s="262">
        <f t="shared" si="233"/>
        <v>107</v>
      </c>
      <c r="J1096" s="279">
        <f t="shared" si="230"/>
        <v>19.89</v>
      </c>
      <c r="K1096" s="280" t="s">
        <v>1081</v>
      </c>
      <c r="L1096" s="281"/>
      <c r="M1096" s="154" t="s">
        <v>621</v>
      </c>
      <c r="N1096" s="154" t="s">
        <v>621</v>
      </c>
      <c r="O1096" s="154" t="s">
        <v>621</v>
      </c>
      <c r="P1096" s="282" t="s">
        <v>3483</v>
      </c>
    </row>
    <row r="1097" s="93" customFormat="1" ht="20.1" customHeight="1" spans="1:16">
      <c r="A1097" s="263" t="s">
        <v>622</v>
      </c>
      <c r="B1097" s="297" t="s">
        <v>3484</v>
      </c>
      <c r="C1097" s="265">
        <f t="shared" ref="C1097:I1097" si="234">SUM(C1098:C1106)</f>
        <v>538</v>
      </c>
      <c r="D1097" s="265">
        <f t="shared" si="232"/>
        <v>107</v>
      </c>
      <c r="E1097" s="265">
        <f t="shared" si="234"/>
        <v>0</v>
      </c>
      <c r="F1097" s="265">
        <f t="shared" si="234"/>
        <v>0</v>
      </c>
      <c r="G1097" s="265">
        <f t="shared" si="234"/>
        <v>0</v>
      </c>
      <c r="H1097" s="265">
        <f t="shared" si="234"/>
        <v>0</v>
      </c>
      <c r="I1097" s="265">
        <f t="shared" si="234"/>
        <v>107</v>
      </c>
      <c r="J1097" s="298">
        <f t="shared" si="230"/>
        <v>19.89</v>
      </c>
      <c r="K1097" s="284" t="s">
        <v>1082</v>
      </c>
      <c r="L1097" s="285"/>
      <c r="M1097" s="263" t="s">
        <v>622</v>
      </c>
      <c r="N1097" s="263" t="s">
        <v>621</v>
      </c>
      <c r="O1097" s="263" t="s">
        <v>622</v>
      </c>
      <c r="P1097" s="286" t="s">
        <v>3485</v>
      </c>
    </row>
    <row r="1098" s="92" customFormat="1" ht="20.1" customHeight="1" spans="1:16">
      <c r="A1098" s="157" t="s">
        <v>3486</v>
      </c>
      <c r="B1098" s="36" t="s">
        <v>1086</v>
      </c>
      <c r="C1098" s="267"/>
      <c r="D1098" s="268">
        <f t="shared" si="232"/>
        <v>0</v>
      </c>
      <c r="E1098" s="267"/>
      <c r="F1098" s="267"/>
      <c r="G1098" s="267"/>
      <c r="H1098" s="267"/>
      <c r="I1098" s="287"/>
      <c r="J1098" s="288">
        <f t="shared" si="230"/>
        <v>0</v>
      </c>
      <c r="K1098" s="276" t="s">
        <v>1087</v>
      </c>
      <c r="L1098" s="33">
        <v>1</v>
      </c>
      <c r="M1098" s="157" t="s">
        <v>3486</v>
      </c>
      <c r="N1098" s="157"/>
      <c r="O1098" s="157" t="s">
        <v>622</v>
      </c>
      <c r="P1098" s="164" t="s">
        <v>1088</v>
      </c>
    </row>
    <row r="1099" s="92" customFormat="1" ht="20.1" customHeight="1" spans="1:16">
      <c r="A1099" s="157" t="s">
        <v>3487</v>
      </c>
      <c r="B1099" s="36" t="s">
        <v>1090</v>
      </c>
      <c r="C1099" s="267">
        <v>109</v>
      </c>
      <c r="D1099" s="268">
        <f t="shared" si="232"/>
        <v>107</v>
      </c>
      <c r="E1099" s="267"/>
      <c r="F1099" s="267"/>
      <c r="G1099" s="267"/>
      <c r="H1099" s="267"/>
      <c r="I1099" s="287">
        <v>107</v>
      </c>
      <c r="J1099" s="288">
        <f t="shared" si="230"/>
        <v>98.17</v>
      </c>
      <c r="K1099" s="276" t="s">
        <v>1087</v>
      </c>
      <c r="L1099" s="33">
        <v>1</v>
      </c>
      <c r="M1099" s="157" t="s">
        <v>3487</v>
      </c>
      <c r="N1099" s="157"/>
      <c r="O1099" s="157" t="s">
        <v>622</v>
      </c>
      <c r="P1099" s="164" t="s">
        <v>1091</v>
      </c>
    </row>
    <row r="1100" s="92" customFormat="1" ht="20.1" customHeight="1" spans="1:16">
      <c r="A1100" s="157" t="s">
        <v>3488</v>
      </c>
      <c r="B1100" s="36" t="s">
        <v>1093</v>
      </c>
      <c r="C1100" s="267"/>
      <c r="D1100" s="268">
        <f t="shared" si="232"/>
        <v>0</v>
      </c>
      <c r="E1100" s="267"/>
      <c r="F1100" s="267"/>
      <c r="G1100" s="267"/>
      <c r="H1100" s="267"/>
      <c r="I1100" s="287"/>
      <c r="J1100" s="288">
        <f t="shared" si="230"/>
        <v>0</v>
      </c>
      <c r="K1100" s="276" t="s">
        <v>1087</v>
      </c>
      <c r="L1100" s="33">
        <v>1</v>
      </c>
      <c r="M1100" s="157" t="s">
        <v>3488</v>
      </c>
      <c r="N1100" s="157"/>
      <c r="O1100" s="157" t="s">
        <v>622</v>
      </c>
      <c r="P1100" s="164" t="s">
        <v>1094</v>
      </c>
    </row>
    <row r="1101" s="92" customFormat="1" ht="20.1" customHeight="1" spans="1:16">
      <c r="A1101" s="157" t="s">
        <v>3489</v>
      </c>
      <c r="B1101" s="36" t="s">
        <v>3490</v>
      </c>
      <c r="C1101" s="267"/>
      <c r="D1101" s="268">
        <f t="shared" si="232"/>
        <v>0</v>
      </c>
      <c r="E1101" s="267"/>
      <c r="F1101" s="267"/>
      <c r="G1101" s="267"/>
      <c r="H1101" s="267"/>
      <c r="I1101" s="287"/>
      <c r="J1101" s="288">
        <f t="shared" si="230"/>
        <v>0</v>
      </c>
      <c r="K1101" s="276" t="s">
        <v>1087</v>
      </c>
      <c r="L1101" s="33">
        <v>1</v>
      </c>
      <c r="M1101" s="157" t="s">
        <v>3489</v>
      </c>
      <c r="N1101" s="157"/>
      <c r="O1101" s="157" t="s">
        <v>622</v>
      </c>
      <c r="P1101" s="163" t="s">
        <v>3491</v>
      </c>
    </row>
    <row r="1102" s="92" customFormat="1" ht="20.1" customHeight="1" spans="1:16">
      <c r="A1102" s="157" t="s">
        <v>3492</v>
      </c>
      <c r="B1102" s="36" t="s">
        <v>3493</v>
      </c>
      <c r="C1102" s="267"/>
      <c r="D1102" s="268">
        <f t="shared" si="232"/>
        <v>0</v>
      </c>
      <c r="E1102" s="267"/>
      <c r="F1102" s="267"/>
      <c r="G1102" s="267"/>
      <c r="H1102" s="267"/>
      <c r="I1102" s="287"/>
      <c r="J1102" s="288">
        <f t="shared" si="230"/>
        <v>0</v>
      </c>
      <c r="K1102" s="276" t="s">
        <v>1087</v>
      </c>
      <c r="L1102" s="33">
        <v>1</v>
      </c>
      <c r="M1102" s="157" t="s">
        <v>3492</v>
      </c>
      <c r="N1102" s="157"/>
      <c r="O1102" s="157" t="s">
        <v>622</v>
      </c>
      <c r="P1102" s="163" t="s">
        <v>3494</v>
      </c>
    </row>
    <row r="1103" s="92" customFormat="1" ht="20.1" customHeight="1" spans="1:16">
      <c r="A1103" s="157" t="s">
        <v>3495</v>
      </c>
      <c r="B1103" s="36" t="s">
        <v>3496</v>
      </c>
      <c r="C1103" s="267"/>
      <c r="D1103" s="268">
        <f t="shared" si="232"/>
        <v>0</v>
      </c>
      <c r="E1103" s="267"/>
      <c r="F1103" s="267"/>
      <c r="G1103" s="267"/>
      <c r="H1103" s="267"/>
      <c r="I1103" s="287"/>
      <c r="J1103" s="288">
        <f t="shared" si="230"/>
        <v>0</v>
      </c>
      <c r="K1103" s="276" t="s">
        <v>1087</v>
      </c>
      <c r="L1103" s="33">
        <v>1</v>
      </c>
      <c r="M1103" s="157" t="s">
        <v>3495</v>
      </c>
      <c r="N1103" s="157"/>
      <c r="O1103" s="157" t="s">
        <v>622</v>
      </c>
      <c r="P1103" s="163" t="s">
        <v>3497</v>
      </c>
    </row>
    <row r="1104" s="92" customFormat="1" ht="20.1" customHeight="1" spans="1:16">
      <c r="A1104" s="157" t="s">
        <v>3498</v>
      </c>
      <c r="B1104" s="36" t="s">
        <v>3499</v>
      </c>
      <c r="C1104" s="267"/>
      <c r="D1104" s="268">
        <f t="shared" si="232"/>
        <v>0</v>
      </c>
      <c r="E1104" s="267"/>
      <c r="F1104" s="267"/>
      <c r="G1104" s="267"/>
      <c r="H1104" s="267"/>
      <c r="I1104" s="287"/>
      <c r="J1104" s="288">
        <f t="shared" si="230"/>
        <v>0</v>
      </c>
      <c r="K1104" s="276" t="s">
        <v>1087</v>
      </c>
      <c r="L1104" s="33">
        <v>1</v>
      </c>
      <c r="M1104" s="157" t="s">
        <v>3498</v>
      </c>
      <c r="N1104" s="157"/>
      <c r="O1104" s="157" t="s">
        <v>622</v>
      </c>
      <c r="P1104" s="163" t="s">
        <v>3500</v>
      </c>
    </row>
    <row r="1105" s="92" customFormat="1" ht="20.1" customHeight="1" spans="1:16">
      <c r="A1105" s="157" t="s">
        <v>3501</v>
      </c>
      <c r="B1105" s="36" t="s">
        <v>1114</v>
      </c>
      <c r="C1105" s="267"/>
      <c r="D1105" s="268">
        <f t="shared" si="232"/>
        <v>0</v>
      </c>
      <c r="E1105" s="267"/>
      <c r="F1105" s="267"/>
      <c r="G1105" s="267"/>
      <c r="H1105" s="267"/>
      <c r="I1105" s="287"/>
      <c r="J1105" s="288">
        <f t="shared" si="230"/>
        <v>0</v>
      </c>
      <c r="K1105" s="276" t="s">
        <v>1087</v>
      </c>
      <c r="L1105" s="33">
        <v>1</v>
      </c>
      <c r="M1105" s="157" t="s">
        <v>3501</v>
      </c>
      <c r="N1105" s="157"/>
      <c r="O1105" s="157" t="s">
        <v>622</v>
      </c>
      <c r="P1105" s="164" t="s">
        <v>1115</v>
      </c>
    </row>
    <row r="1106" s="92" customFormat="1" ht="20.1" customHeight="1" spans="1:16">
      <c r="A1106" s="157" t="s">
        <v>3502</v>
      </c>
      <c r="B1106" s="36" t="s">
        <v>3503</v>
      </c>
      <c r="C1106" s="267">
        <v>429</v>
      </c>
      <c r="D1106" s="268">
        <f t="shared" si="232"/>
        <v>0</v>
      </c>
      <c r="E1106" s="267"/>
      <c r="F1106" s="267"/>
      <c r="G1106" s="267"/>
      <c r="H1106" s="267"/>
      <c r="I1106" s="287"/>
      <c r="J1106" s="288">
        <f t="shared" si="230"/>
        <v>-100</v>
      </c>
      <c r="K1106" s="276" t="s">
        <v>1087</v>
      </c>
      <c r="L1106" s="33">
        <v>1</v>
      </c>
      <c r="M1106" s="157" t="s">
        <v>3502</v>
      </c>
      <c r="N1106" s="157"/>
      <c r="O1106" s="157" t="s">
        <v>622</v>
      </c>
      <c r="P1106" s="163" t="s">
        <v>3504</v>
      </c>
    </row>
    <row r="1107" s="93" customFormat="1" ht="20.1" customHeight="1" spans="1:16">
      <c r="A1107" s="263" t="s">
        <v>623</v>
      </c>
      <c r="B1107" s="297" t="s">
        <v>3505</v>
      </c>
      <c r="C1107" s="265">
        <v>0</v>
      </c>
      <c r="D1107" s="265">
        <f t="shared" si="232"/>
        <v>0</v>
      </c>
      <c r="E1107" s="265">
        <f t="shared" ref="E1107:H1107" si="235">SUM(E1108:E1112)</f>
        <v>0</v>
      </c>
      <c r="F1107" s="265">
        <f t="shared" si="235"/>
        <v>0</v>
      </c>
      <c r="G1107" s="265">
        <f>VLOOKUP(A1107,[1]√表四、2024年公共财政支出变动表!$A$7:$R$214,18,FALSE)</f>
        <v>0</v>
      </c>
      <c r="H1107" s="265">
        <f t="shared" si="235"/>
        <v>0</v>
      </c>
      <c r="I1107" s="265"/>
      <c r="J1107" s="298">
        <f t="shared" si="230"/>
        <v>0</v>
      </c>
      <c r="K1107" s="284" t="s">
        <v>1082</v>
      </c>
      <c r="L1107" s="285"/>
      <c r="M1107" s="263" t="s">
        <v>623</v>
      </c>
      <c r="N1107" s="263" t="s">
        <v>621</v>
      </c>
      <c r="O1107" s="263" t="s">
        <v>623</v>
      </c>
      <c r="P1107" s="286" t="s">
        <v>3506</v>
      </c>
    </row>
    <row r="1108" s="92" customFormat="1" ht="20.1" customHeight="1" spans="1:16">
      <c r="A1108" s="157" t="s">
        <v>3507</v>
      </c>
      <c r="B1108" s="36" t="s">
        <v>1086</v>
      </c>
      <c r="C1108" s="267">
        <v>0</v>
      </c>
      <c r="D1108" s="268">
        <f t="shared" si="232"/>
        <v>0</v>
      </c>
      <c r="E1108" s="267"/>
      <c r="F1108" s="267"/>
      <c r="G1108" s="267"/>
      <c r="H1108" s="267"/>
      <c r="I1108" s="287"/>
      <c r="J1108" s="288">
        <f t="shared" si="230"/>
        <v>0</v>
      </c>
      <c r="K1108" s="276" t="s">
        <v>1087</v>
      </c>
      <c r="L1108" s="33">
        <v>1</v>
      </c>
      <c r="M1108" s="157" t="s">
        <v>3507</v>
      </c>
      <c r="N1108" s="157"/>
      <c r="O1108" s="157" t="s">
        <v>623</v>
      </c>
      <c r="P1108" s="164" t="s">
        <v>1088</v>
      </c>
    </row>
    <row r="1109" s="92" customFormat="1" ht="20.1" customHeight="1" spans="1:16">
      <c r="A1109" s="157" t="s">
        <v>3508</v>
      </c>
      <c r="B1109" s="36" t="s">
        <v>1090</v>
      </c>
      <c r="C1109" s="267">
        <v>0</v>
      </c>
      <c r="D1109" s="268">
        <f t="shared" si="232"/>
        <v>0</v>
      </c>
      <c r="E1109" s="267"/>
      <c r="F1109" s="267"/>
      <c r="G1109" s="267"/>
      <c r="H1109" s="267"/>
      <c r="I1109" s="287"/>
      <c r="J1109" s="288">
        <f t="shared" si="230"/>
        <v>0</v>
      </c>
      <c r="K1109" s="276" t="s">
        <v>1087</v>
      </c>
      <c r="L1109" s="33">
        <v>1</v>
      </c>
      <c r="M1109" s="157" t="s">
        <v>3508</v>
      </c>
      <c r="N1109" s="157"/>
      <c r="O1109" s="157" t="s">
        <v>623</v>
      </c>
      <c r="P1109" s="164" t="s">
        <v>1091</v>
      </c>
    </row>
    <row r="1110" s="92" customFormat="1" ht="20.1" customHeight="1" spans="1:16">
      <c r="A1110" s="157" t="s">
        <v>3509</v>
      </c>
      <c r="B1110" s="36" t="s">
        <v>1093</v>
      </c>
      <c r="C1110" s="267">
        <v>0</v>
      </c>
      <c r="D1110" s="268">
        <f t="shared" si="232"/>
        <v>0</v>
      </c>
      <c r="E1110" s="267"/>
      <c r="F1110" s="267"/>
      <c r="G1110" s="267"/>
      <c r="H1110" s="267"/>
      <c r="I1110" s="287"/>
      <c r="J1110" s="288">
        <f t="shared" si="230"/>
        <v>0</v>
      </c>
      <c r="K1110" s="276" t="s">
        <v>1087</v>
      </c>
      <c r="L1110" s="33">
        <v>1</v>
      </c>
      <c r="M1110" s="157" t="s">
        <v>3509</v>
      </c>
      <c r="N1110" s="157"/>
      <c r="O1110" s="157" t="s">
        <v>623</v>
      </c>
      <c r="P1110" s="164" t="s">
        <v>1094</v>
      </c>
    </row>
    <row r="1111" s="92" customFormat="1" ht="20.1" customHeight="1" spans="1:16">
      <c r="A1111" s="157" t="s">
        <v>3510</v>
      </c>
      <c r="B1111" s="36" t="s">
        <v>3511</v>
      </c>
      <c r="C1111" s="267">
        <v>0</v>
      </c>
      <c r="D1111" s="268">
        <f t="shared" si="232"/>
        <v>0</v>
      </c>
      <c r="E1111" s="267"/>
      <c r="F1111" s="267"/>
      <c r="G1111" s="267"/>
      <c r="H1111" s="267"/>
      <c r="I1111" s="287"/>
      <c r="J1111" s="288">
        <f t="shared" si="230"/>
        <v>0</v>
      </c>
      <c r="K1111" s="276" t="s">
        <v>1087</v>
      </c>
      <c r="L1111" s="33">
        <v>1</v>
      </c>
      <c r="M1111" s="157" t="s">
        <v>3510</v>
      </c>
      <c r="N1111" s="157"/>
      <c r="O1111" s="157" t="s">
        <v>623</v>
      </c>
      <c r="P1111" s="163" t="s">
        <v>3512</v>
      </c>
    </row>
    <row r="1112" s="92" customFormat="1" ht="20.1" customHeight="1" spans="1:16">
      <c r="A1112" s="157" t="s">
        <v>3513</v>
      </c>
      <c r="B1112" s="36" t="s">
        <v>3514</v>
      </c>
      <c r="C1112" s="267">
        <v>0</v>
      </c>
      <c r="D1112" s="268">
        <f t="shared" si="232"/>
        <v>0</v>
      </c>
      <c r="E1112" s="267"/>
      <c r="F1112" s="267"/>
      <c r="G1112" s="267"/>
      <c r="H1112" s="267"/>
      <c r="I1112" s="287"/>
      <c r="J1112" s="288">
        <f t="shared" si="230"/>
        <v>0</v>
      </c>
      <c r="K1112" s="276" t="s">
        <v>1087</v>
      </c>
      <c r="L1112" s="33">
        <v>1</v>
      </c>
      <c r="M1112" s="157" t="s">
        <v>3513</v>
      </c>
      <c r="N1112" s="157"/>
      <c r="O1112" s="157" t="s">
        <v>623</v>
      </c>
      <c r="P1112" s="163" t="s">
        <v>3515</v>
      </c>
    </row>
    <row r="1113" s="93" customFormat="1" ht="20.1" customHeight="1" spans="1:16">
      <c r="A1113" s="263" t="s">
        <v>624</v>
      </c>
      <c r="B1113" s="297" t="s">
        <v>3516</v>
      </c>
      <c r="C1113" s="265">
        <v>0</v>
      </c>
      <c r="D1113" s="265">
        <f t="shared" si="232"/>
        <v>0</v>
      </c>
      <c r="E1113" s="265">
        <f t="shared" ref="E1113:H1113" si="236">SUM(E1114:E1115)</f>
        <v>0</v>
      </c>
      <c r="F1113" s="265">
        <f t="shared" si="236"/>
        <v>0</v>
      </c>
      <c r="G1113" s="265">
        <f>VLOOKUP(A1113,[1]√表四、2024年公共财政支出变动表!$A$7:$R$214,18,FALSE)</f>
        <v>0</v>
      </c>
      <c r="H1113" s="265">
        <f t="shared" si="236"/>
        <v>0</v>
      </c>
      <c r="I1113" s="265"/>
      <c r="J1113" s="298">
        <f t="shared" si="230"/>
        <v>0</v>
      </c>
      <c r="K1113" s="284" t="s">
        <v>1082</v>
      </c>
      <c r="L1113" s="285"/>
      <c r="M1113" s="263" t="s">
        <v>624</v>
      </c>
      <c r="N1113" s="263" t="s">
        <v>621</v>
      </c>
      <c r="O1113" s="263" t="s">
        <v>624</v>
      </c>
      <c r="P1113" s="286" t="s">
        <v>3517</v>
      </c>
    </row>
    <row r="1114" s="92" customFormat="1" ht="20.1" customHeight="1" spans="1:16">
      <c r="A1114" s="157" t="s">
        <v>3518</v>
      </c>
      <c r="B1114" s="36" t="s">
        <v>3519</v>
      </c>
      <c r="C1114" s="267">
        <v>0</v>
      </c>
      <c r="D1114" s="268">
        <f t="shared" si="232"/>
        <v>0</v>
      </c>
      <c r="E1114" s="267"/>
      <c r="F1114" s="267"/>
      <c r="G1114" s="267"/>
      <c r="H1114" s="267"/>
      <c r="I1114" s="287"/>
      <c r="J1114" s="288">
        <f t="shared" si="230"/>
        <v>0</v>
      </c>
      <c r="K1114" s="276" t="s">
        <v>1087</v>
      </c>
      <c r="L1114" s="33">
        <v>1</v>
      </c>
      <c r="M1114" s="157" t="s">
        <v>3518</v>
      </c>
      <c r="N1114" s="157"/>
      <c r="O1114" s="157" t="s">
        <v>624</v>
      </c>
      <c r="P1114" s="163" t="s">
        <v>3520</v>
      </c>
    </row>
    <row r="1115" s="92" customFormat="1" ht="20.1" customHeight="1" spans="1:16">
      <c r="A1115" s="157" t="s">
        <v>3521</v>
      </c>
      <c r="B1115" s="36" t="s">
        <v>386</v>
      </c>
      <c r="C1115" s="267">
        <v>0</v>
      </c>
      <c r="D1115" s="268">
        <f t="shared" si="232"/>
        <v>0</v>
      </c>
      <c r="E1115" s="267"/>
      <c r="F1115" s="267"/>
      <c r="G1115" s="267"/>
      <c r="H1115" s="267"/>
      <c r="I1115" s="287"/>
      <c r="J1115" s="288">
        <f t="shared" si="230"/>
        <v>0</v>
      </c>
      <c r="K1115" s="276" t="s">
        <v>1087</v>
      </c>
      <c r="L1115" s="33">
        <v>1</v>
      </c>
      <c r="M1115" s="157" t="s">
        <v>3521</v>
      </c>
      <c r="N1115" s="157"/>
      <c r="O1115" s="157" t="s">
        <v>624</v>
      </c>
      <c r="P1115" s="163" t="s">
        <v>3517</v>
      </c>
    </row>
    <row r="1116" s="93" customFormat="1" ht="20.1" customHeight="1" spans="1:16">
      <c r="A1116" s="154" t="s">
        <v>625</v>
      </c>
      <c r="B1116" s="261" t="s">
        <v>387</v>
      </c>
      <c r="C1116" s="262">
        <f t="shared" ref="C1116:I1116" si="237">C1117+C1124+C1134+C1140+C1143</f>
        <v>65</v>
      </c>
      <c r="D1116" s="262">
        <f t="shared" si="232"/>
        <v>0</v>
      </c>
      <c r="E1116" s="262">
        <f t="shared" si="237"/>
        <v>0</v>
      </c>
      <c r="F1116" s="262">
        <f t="shared" si="237"/>
        <v>0</v>
      </c>
      <c r="G1116" s="262">
        <f t="shared" si="237"/>
        <v>0</v>
      </c>
      <c r="H1116" s="262">
        <f t="shared" si="237"/>
        <v>0</v>
      </c>
      <c r="I1116" s="262">
        <f t="shared" si="237"/>
        <v>0</v>
      </c>
      <c r="J1116" s="279">
        <f t="shared" si="230"/>
        <v>-100</v>
      </c>
      <c r="K1116" s="280" t="s">
        <v>1081</v>
      </c>
      <c r="L1116" s="281"/>
      <c r="M1116" s="154" t="s">
        <v>625</v>
      </c>
      <c r="N1116" s="154" t="s">
        <v>625</v>
      </c>
      <c r="O1116" s="154" t="s">
        <v>625</v>
      </c>
      <c r="P1116" s="282" t="s">
        <v>3522</v>
      </c>
    </row>
    <row r="1117" s="93" customFormat="1" ht="20.1" customHeight="1" spans="1:16">
      <c r="A1117" s="263" t="s">
        <v>626</v>
      </c>
      <c r="B1117" s="297" t="s">
        <v>3523</v>
      </c>
      <c r="C1117" s="265">
        <f t="shared" ref="C1117:I1117" si="238">SUM(C1118:C1123)</f>
        <v>0</v>
      </c>
      <c r="D1117" s="265">
        <f t="shared" si="232"/>
        <v>0</v>
      </c>
      <c r="E1117" s="265">
        <f t="shared" si="238"/>
        <v>0</v>
      </c>
      <c r="F1117" s="265">
        <f t="shared" si="238"/>
        <v>0</v>
      </c>
      <c r="G1117" s="265">
        <f t="shared" si="238"/>
        <v>0</v>
      </c>
      <c r="H1117" s="265">
        <f t="shared" si="238"/>
        <v>0</v>
      </c>
      <c r="I1117" s="265">
        <f t="shared" si="238"/>
        <v>0</v>
      </c>
      <c r="J1117" s="298">
        <f t="shared" si="230"/>
        <v>0</v>
      </c>
      <c r="K1117" s="284" t="s">
        <v>1082</v>
      </c>
      <c r="L1117" s="285"/>
      <c r="M1117" s="263" t="s">
        <v>626</v>
      </c>
      <c r="N1117" s="263" t="s">
        <v>625</v>
      </c>
      <c r="O1117" s="263" t="s">
        <v>626</v>
      </c>
      <c r="P1117" s="286" t="s">
        <v>3524</v>
      </c>
    </row>
    <row r="1118" s="92" customFormat="1" ht="20.1" customHeight="1" spans="1:16">
      <c r="A1118" s="157" t="s">
        <v>3525</v>
      </c>
      <c r="B1118" s="36" t="s">
        <v>1086</v>
      </c>
      <c r="C1118" s="267">
        <v>0</v>
      </c>
      <c r="D1118" s="268">
        <f t="shared" si="232"/>
        <v>0</v>
      </c>
      <c r="E1118" s="267"/>
      <c r="F1118" s="267"/>
      <c r="G1118" s="267"/>
      <c r="H1118" s="267"/>
      <c r="I1118" s="287"/>
      <c r="J1118" s="288">
        <f t="shared" si="230"/>
        <v>0</v>
      </c>
      <c r="K1118" s="276" t="s">
        <v>1087</v>
      </c>
      <c r="L1118" s="33">
        <v>1</v>
      </c>
      <c r="M1118" s="157" t="s">
        <v>3525</v>
      </c>
      <c r="N1118" s="157"/>
      <c r="O1118" s="157" t="s">
        <v>626</v>
      </c>
      <c r="P1118" s="164" t="s">
        <v>1088</v>
      </c>
    </row>
    <row r="1119" s="92" customFormat="1" ht="20.1" customHeight="1" spans="1:16">
      <c r="A1119" s="157" t="s">
        <v>3526</v>
      </c>
      <c r="B1119" s="36" t="s">
        <v>1090</v>
      </c>
      <c r="C1119" s="267">
        <v>0</v>
      </c>
      <c r="D1119" s="268">
        <f t="shared" si="232"/>
        <v>0</v>
      </c>
      <c r="E1119" s="267"/>
      <c r="F1119" s="267"/>
      <c r="G1119" s="267"/>
      <c r="H1119" s="267"/>
      <c r="I1119" s="287"/>
      <c r="J1119" s="288">
        <f t="shared" si="230"/>
        <v>0</v>
      </c>
      <c r="K1119" s="276" t="s">
        <v>1087</v>
      </c>
      <c r="L1119" s="33">
        <v>1</v>
      </c>
      <c r="M1119" s="157" t="s">
        <v>3526</v>
      </c>
      <c r="N1119" s="157"/>
      <c r="O1119" s="157" t="s">
        <v>626</v>
      </c>
      <c r="P1119" s="164" t="s">
        <v>1091</v>
      </c>
    </row>
    <row r="1120" s="92" customFormat="1" ht="20.1" customHeight="1" spans="1:16">
      <c r="A1120" s="157" t="s">
        <v>3527</v>
      </c>
      <c r="B1120" s="36" t="s">
        <v>1093</v>
      </c>
      <c r="C1120" s="267">
        <v>0</v>
      </c>
      <c r="D1120" s="268">
        <f t="shared" si="232"/>
        <v>0</v>
      </c>
      <c r="E1120" s="267"/>
      <c r="F1120" s="267"/>
      <c r="G1120" s="267"/>
      <c r="H1120" s="267"/>
      <c r="I1120" s="287"/>
      <c r="J1120" s="288">
        <f t="shared" si="230"/>
        <v>0</v>
      </c>
      <c r="K1120" s="276" t="s">
        <v>1087</v>
      </c>
      <c r="L1120" s="33">
        <v>1</v>
      </c>
      <c r="M1120" s="157" t="s">
        <v>3527</v>
      </c>
      <c r="N1120" s="157"/>
      <c r="O1120" s="157" t="s">
        <v>626</v>
      </c>
      <c r="P1120" s="164" t="s">
        <v>1094</v>
      </c>
    </row>
    <row r="1121" s="92" customFormat="1" ht="20.1" customHeight="1" spans="1:16">
      <c r="A1121" s="157" t="s">
        <v>3528</v>
      </c>
      <c r="B1121" s="36" t="s">
        <v>3529</v>
      </c>
      <c r="C1121" s="267">
        <v>0</v>
      </c>
      <c r="D1121" s="268">
        <f t="shared" si="232"/>
        <v>0</v>
      </c>
      <c r="E1121" s="267"/>
      <c r="F1121" s="267"/>
      <c r="G1121" s="267"/>
      <c r="H1121" s="267"/>
      <c r="I1121" s="287"/>
      <c r="J1121" s="288">
        <f t="shared" si="230"/>
        <v>0</v>
      </c>
      <c r="K1121" s="276" t="s">
        <v>1087</v>
      </c>
      <c r="L1121" s="33">
        <v>1</v>
      </c>
      <c r="M1121" s="157" t="s">
        <v>3528</v>
      </c>
      <c r="N1121" s="157"/>
      <c r="O1121" s="157" t="s">
        <v>626</v>
      </c>
      <c r="P1121" s="163" t="s">
        <v>3530</v>
      </c>
    </row>
    <row r="1122" s="92" customFormat="1" ht="20.1" customHeight="1" spans="1:16">
      <c r="A1122" s="157" t="s">
        <v>3531</v>
      </c>
      <c r="B1122" s="36" t="s">
        <v>1114</v>
      </c>
      <c r="C1122" s="267">
        <v>0</v>
      </c>
      <c r="D1122" s="268">
        <f t="shared" si="232"/>
        <v>0</v>
      </c>
      <c r="E1122" s="267"/>
      <c r="F1122" s="267"/>
      <c r="G1122" s="267"/>
      <c r="H1122" s="267"/>
      <c r="I1122" s="287"/>
      <c r="J1122" s="288">
        <f t="shared" si="230"/>
        <v>0</v>
      </c>
      <c r="K1122" s="276" t="s">
        <v>1087</v>
      </c>
      <c r="L1122" s="33">
        <v>1</v>
      </c>
      <c r="M1122" s="157" t="s">
        <v>3531</v>
      </c>
      <c r="N1122" s="157"/>
      <c r="O1122" s="157" t="s">
        <v>626</v>
      </c>
      <c r="P1122" s="164" t="s">
        <v>1115</v>
      </c>
    </row>
    <row r="1123" s="92" customFormat="1" ht="20.1" customHeight="1" spans="1:16">
      <c r="A1123" s="157" t="s">
        <v>3532</v>
      </c>
      <c r="B1123" s="36" t="s">
        <v>3533</v>
      </c>
      <c r="C1123" s="267">
        <v>0</v>
      </c>
      <c r="D1123" s="268">
        <f t="shared" si="232"/>
        <v>0</v>
      </c>
      <c r="E1123" s="267"/>
      <c r="F1123" s="267"/>
      <c r="G1123" s="267"/>
      <c r="H1123" s="267"/>
      <c r="I1123" s="287"/>
      <c r="J1123" s="288">
        <f t="shared" si="230"/>
        <v>0</v>
      </c>
      <c r="K1123" s="276" t="s">
        <v>1087</v>
      </c>
      <c r="L1123" s="33">
        <v>1</v>
      </c>
      <c r="M1123" s="157" t="s">
        <v>3532</v>
      </c>
      <c r="N1123" s="157"/>
      <c r="O1123" s="157" t="s">
        <v>626</v>
      </c>
      <c r="P1123" s="163" t="s">
        <v>3534</v>
      </c>
    </row>
    <row r="1124" s="93" customFormat="1" ht="20.1" customHeight="1" spans="1:16">
      <c r="A1124" s="263" t="s">
        <v>3535</v>
      </c>
      <c r="B1124" s="297" t="s">
        <v>3536</v>
      </c>
      <c r="C1124" s="265">
        <f t="shared" ref="C1124:I1124" si="239">SUM(C1125:C1133)</f>
        <v>0</v>
      </c>
      <c r="D1124" s="265">
        <f t="shared" si="232"/>
        <v>0</v>
      </c>
      <c r="E1124" s="265">
        <f t="shared" si="239"/>
        <v>0</v>
      </c>
      <c r="F1124" s="265">
        <f t="shared" si="239"/>
        <v>0</v>
      </c>
      <c r="G1124" s="265">
        <f t="shared" si="239"/>
        <v>0</v>
      </c>
      <c r="H1124" s="265">
        <f t="shared" si="239"/>
        <v>0</v>
      </c>
      <c r="I1124" s="265">
        <f t="shared" si="239"/>
        <v>0</v>
      </c>
      <c r="J1124" s="298"/>
      <c r="K1124" s="284" t="s">
        <v>1082</v>
      </c>
      <c r="L1124" s="285"/>
      <c r="M1124" s="263" t="s">
        <v>3535</v>
      </c>
      <c r="N1124" s="263" t="s">
        <v>625</v>
      </c>
      <c r="O1124" s="263" t="s">
        <v>3535</v>
      </c>
      <c r="P1124" s="297" t="s">
        <v>3537</v>
      </c>
    </row>
    <row r="1125" s="92" customFormat="1" ht="20.1" customHeight="1" spans="1:16">
      <c r="A1125" s="157" t="s">
        <v>3538</v>
      </c>
      <c r="B1125" s="36" t="s">
        <v>3539</v>
      </c>
      <c r="C1125" s="267"/>
      <c r="D1125" s="268">
        <f t="shared" si="232"/>
        <v>0</v>
      </c>
      <c r="E1125" s="267"/>
      <c r="F1125" s="267"/>
      <c r="G1125" s="267"/>
      <c r="H1125" s="267"/>
      <c r="I1125" s="287"/>
      <c r="J1125" s="288"/>
      <c r="K1125" s="276" t="s">
        <v>1087</v>
      </c>
      <c r="L1125" s="33">
        <v>1</v>
      </c>
      <c r="M1125" s="157" t="s">
        <v>3538</v>
      </c>
      <c r="N1125" s="157"/>
      <c r="O1125" s="294" t="s">
        <v>3535</v>
      </c>
      <c r="P1125" s="36" t="s">
        <v>3540</v>
      </c>
    </row>
    <row r="1126" s="92" customFormat="1" ht="20.1" customHeight="1" spans="1:16">
      <c r="A1126" s="157" t="s">
        <v>3541</v>
      </c>
      <c r="B1126" s="36" t="s">
        <v>3542</v>
      </c>
      <c r="C1126" s="267"/>
      <c r="D1126" s="268">
        <f t="shared" si="232"/>
        <v>0</v>
      </c>
      <c r="E1126" s="267"/>
      <c r="F1126" s="267"/>
      <c r="G1126" s="267"/>
      <c r="H1126" s="267"/>
      <c r="I1126" s="287"/>
      <c r="J1126" s="288"/>
      <c r="K1126" s="276" t="s">
        <v>1087</v>
      </c>
      <c r="L1126" s="33">
        <v>1</v>
      </c>
      <c r="M1126" s="157" t="s">
        <v>3541</v>
      </c>
      <c r="N1126" s="157"/>
      <c r="O1126" s="294" t="s">
        <v>3535</v>
      </c>
      <c r="P1126" s="36" t="s">
        <v>3543</v>
      </c>
    </row>
    <row r="1127" s="92" customFormat="1" ht="20.1" customHeight="1" spans="1:16">
      <c r="A1127" s="157" t="s">
        <v>3544</v>
      </c>
      <c r="B1127" s="36" t="s">
        <v>3545</v>
      </c>
      <c r="C1127" s="267"/>
      <c r="D1127" s="268">
        <f t="shared" si="232"/>
        <v>0</v>
      </c>
      <c r="E1127" s="267"/>
      <c r="F1127" s="267"/>
      <c r="G1127" s="267"/>
      <c r="H1127" s="267"/>
      <c r="I1127" s="287"/>
      <c r="J1127" s="288"/>
      <c r="K1127" s="276" t="s">
        <v>1087</v>
      </c>
      <c r="L1127" s="33">
        <v>1</v>
      </c>
      <c r="M1127" s="157" t="s">
        <v>3544</v>
      </c>
      <c r="N1127" s="157"/>
      <c r="O1127" s="294" t="s">
        <v>3535</v>
      </c>
      <c r="P1127" s="36" t="s">
        <v>3546</v>
      </c>
    </row>
    <row r="1128" s="92" customFormat="1" ht="20.1" customHeight="1" spans="1:16">
      <c r="A1128" s="157" t="s">
        <v>3547</v>
      </c>
      <c r="B1128" s="36" t="s">
        <v>3548</v>
      </c>
      <c r="C1128" s="267"/>
      <c r="D1128" s="268">
        <f t="shared" si="232"/>
        <v>0</v>
      </c>
      <c r="E1128" s="267"/>
      <c r="F1128" s="267"/>
      <c r="G1128" s="267"/>
      <c r="H1128" s="267"/>
      <c r="I1128" s="287"/>
      <c r="J1128" s="288"/>
      <c r="K1128" s="276" t="s">
        <v>1087</v>
      </c>
      <c r="L1128" s="33">
        <v>1</v>
      </c>
      <c r="M1128" s="157" t="s">
        <v>3547</v>
      </c>
      <c r="N1128" s="157"/>
      <c r="O1128" s="294" t="s">
        <v>3535</v>
      </c>
      <c r="P1128" s="36" t="s">
        <v>3549</v>
      </c>
    </row>
    <row r="1129" s="92" customFormat="1" ht="20.1" customHeight="1" spans="1:16">
      <c r="A1129" s="157" t="s">
        <v>3550</v>
      </c>
      <c r="B1129" s="36" t="s">
        <v>3551</v>
      </c>
      <c r="C1129" s="267"/>
      <c r="D1129" s="268">
        <f t="shared" si="232"/>
        <v>0</v>
      </c>
      <c r="E1129" s="267"/>
      <c r="F1129" s="267"/>
      <c r="G1129" s="267"/>
      <c r="H1129" s="267"/>
      <c r="I1129" s="287"/>
      <c r="J1129" s="288"/>
      <c r="K1129" s="276" t="s">
        <v>1087</v>
      </c>
      <c r="L1129" s="33">
        <v>1</v>
      </c>
      <c r="M1129" s="157" t="s">
        <v>3550</v>
      </c>
      <c r="N1129" s="157"/>
      <c r="O1129" s="294" t="s">
        <v>3535</v>
      </c>
      <c r="P1129" s="36" t="s">
        <v>3552</v>
      </c>
    </row>
    <row r="1130" s="92" customFormat="1" ht="20.1" customHeight="1" spans="1:16">
      <c r="A1130" s="157" t="s">
        <v>3553</v>
      </c>
      <c r="B1130" s="36" t="s">
        <v>3554</v>
      </c>
      <c r="C1130" s="267"/>
      <c r="D1130" s="268">
        <f t="shared" si="232"/>
        <v>0</v>
      </c>
      <c r="E1130" s="267"/>
      <c r="F1130" s="267"/>
      <c r="G1130" s="267"/>
      <c r="H1130" s="267"/>
      <c r="I1130" s="287"/>
      <c r="J1130" s="288"/>
      <c r="K1130" s="276" t="s">
        <v>1087</v>
      </c>
      <c r="L1130" s="33">
        <v>1</v>
      </c>
      <c r="M1130" s="157" t="s">
        <v>3553</v>
      </c>
      <c r="N1130" s="157"/>
      <c r="O1130" s="294" t="s">
        <v>3535</v>
      </c>
      <c r="P1130" s="36" t="s">
        <v>3555</v>
      </c>
    </row>
    <row r="1131" s="92" customFormat="1" ht="20.1" customHeight="1" spans="1:16">
      <c r="A1131" s="157" t="s">
        <v>3556</v>
      </c>
      <c r="B1131" s="36" t="s">
        <v>3557</v>
      </c>
      <c r="C1131" s="267"/>
      <c r="D1131" s="268">
        <f t="shared" si="232"/>
        <v>0</v>
      </c>
      <c r="E1131" s="267"/>
      <c r="F1131" s="267"/>
      <c r="G1131" s="267"/>
      <c r="H1131" s="267"/>
      <c r="I1131" s="287"/>
      <c r="J1131" s="288"/>
      <c r="K1131" s="276" t="s">
        <v>1087</v>
      </c>
      <c r="L1131" s="33">
        <v>1</v>
      </c>
      <c r="M1131" s="157" t="s">
        <v>3556</v>
      </c>
      <c r="N1131" s="157"/>
      <c r="O1131" s="294" t="s">
        <v>3535</v>
      </c>
      <c r="P1131" s="36" t="s">
        <v>3558</v>
      </c>
    </row>
    <row r="1132" s="92" customFormat="1" ht="20.1" customHeight="1" spans="1:16">
      <c r="A1132" s="157" t="s">
        <v>3559</v>
      </c>
      <c r="B1132" s="36" t="s">
        <v>3560</v>
      </c>
      <c r="C1132" s="267"/>
      <c r="D1132" s="268">
        <f t="shared" si="232"/>
        <v>0</v>
      </c>
      <c r="E1132" s="267"/>
      <c r="F1132" s="267"/>
      <c r="G1132" s="267"/>
      <c r="H1132" s="267"/>
      <c r="I1132" s="287"/>
      <c r="J1132" s="288"/>
      <c r="K1132" s="276" t="s">
        <v>1087</v>
      </c>
      <c r="L1132" s="33">
        <v>1</v>
      </c>
      <c r="M1132" s="157" t="s">
        <v>3559</v>
      </c>
      <c r="N1132" s="157"/>
      <c r="O1132" s="294" t="s">
        <v>3535</v>
      </c>
      <c r="P1132" s="36" t="s">
        <v>3561</v>
      </c>
    </row>
    <row r="1133" s="92" customFormat="1" ht="20.1" customHeight="1" spans="1:16">
      <c r="A1133" s="157" t="s">
        <v>3562</v>
      </c>
      <c r="B1133" s="36" t="s">
        <v>3563</v>
      </c>
      <c r="C1133" s="267"/>
      <c r="D1133" s="268">
        <f t="shared" si="232"/>
        <v>0</v>
      </c>
      <c r="E1133" s="267"/>
      <c r="F1133" s="267"/>
      <c r="G1133" s="267"/>
      <c r="H1133" s="267"/>
      <c r="I1133" s="287"/>
      <c r="J1133" s="288"/>
      <c r="K1133" s="276" t="s">
        <v>1087</v>
      </c>
      <c r="L1133" s="33">
        <v>1</v>
      </c>
      <c r="M1133" s="157" t="s">
        <v>3562</v>
      </c>
      <c r="N1133" s="157"/>
      <c r="O1133" s="294" t="s">
        <v>3535</v>
      </c>
      <c r="P1133" s="36" t="s">
        <v>3564</v>
      </c>
    </row>
    <row r="1134" s="93" customFormat="1" ht="20.1" customHeight="1" spans="1:16">
      <c r="A1134" s="263" t="s">
        <v>627</v>
      </c>
      <c r="B1134" s="297" t="s">
        <v>3565</v>
      </c>
      <c r="C1134" s="265">
        <f t="shared" ref="C1134:I1134" si="240">SUM(C1135:C1139)</f>
        <v>65</v>
      </c>
      <c r="D1134" s="265">
        <f t="shared" si="232"/>
        <v>0</v>
      </c>
      <c r="E1134" s="265">
        <f t="shared" si="240"/>
        <v>0</v>
      </c>
      <c r="F1134" s="265">
        <f t="shared" si="240"/>
        <v>0</v>
      </c>
      <c r="G1134" s="265">
        <f t="shared" si="240"/>
        <v>0</v>
      </c>
      <c r="H1134" s="265">
        <f t="shared" si="240"/>
        <v>0</v>
      </c>
      <c r="I1134" s="265">
        <f t="shared" si="240"/>
        <v>0</v>
      </c>
      <c r="J1134" s="298">
        <f t="shared" ref="J1134:J1143" si="241">ROUND(IF(C1134=0,IF(D1134=0,0,1),IF(D1134=0,-1,D1134/C1134)),4)*100</f>
        <v>-100</v>
      </c>
      <c r="K1134" s="284" t="s">
        <v>1082</v>
      </c>
      <c r="L1134" s="285"/>
      <c r="M1134" s="263" t="s">
        <v>627</v>
      </c>
      <c r="N1134" s="263" t="s">
        <v>625</v>
      </c>
      <c r="O1134" s="263" t="s">
        <v>627</v>
      </c>
      <c r="P1134" s="286" t="s">
        <v>3566</v>
      </c>
    </row>
    <row r="1135" s="92" customFormat="1" ht="20.1" customHeight="1" spans="1:16">
      <c r="A1135" s="157" t="s">
        <v>3567</v>
      </c>
      <c r="B1135" s="36" t="s">
        <v>3568</v>
      </c>
      <c r="C1135" s="267">
        <v>0</v>
      </c>
      <c r="D1135" s="268">
        <f t="shared" si="232"/>
        <v>0</v>
      </c>
      <c r="E1135" s="267"/>
      <c r="F1135" s="267"/>
      <c r="G1135" s="267"/>
      <c r="H1135" s="267"/>
      <c r="I1135" s="287"/>
      <c r="J1135" s="288">
        <f t="shared" si="241"/>
        <v>0</v>
      </c>
      <c r="K1135" s="276" t="s">
        <v>1087</v>
      </c>
      <c r="L1135" s="33">
        <v>1</v>
      </c>
      <c r="M1135" s="157" t="s">
        <v>3567</v>
      </c>
      <c r="N1135" s="157"/>
      <c r="O1135" s="157" t="s">
        <v>627</v>
      </c>
      <c r="P1135" s="163" t="s">
        <v>3569</v>
      </c>
    </row>
    <row r="1136" s="92" customFormat="1" ht="19.5" customHeight="1" spans="1:16">
      <c r="A1136" s="157" t="s">
        <v>3570</v>
      </c>
      <c r="B1136" s="36" t="s">
        <v>3571</v>
      </c>
      <c r="C1136" s="267">
        <v>65</v>
      </c>
      <c r="D1136" s="268">
        <f t="shared" si="232"/>
        <v>0</v>
      </c>
      <c r="E1136" s="267"/>
      <c r="F1136" s="267"/>
      <c r="G1136" s="267"/>
      <c r="H1136" s="267"/>
      <c r="I1136" s="287"/>
      <c r="J1136" s="288">
        <f t="shared" si="241"/>
        <v>-100</v>
      </c>
      <c r="K1136" s="276" t="s">
        <v>1087</v>
      </c>
      <c r="L1136" s="33">
        <v>1</v>
      </c>
      <c r="M1136" s="157" t="s">
        <v>3570</v>
      </c>
      <c r="N1136" s="157"/>
      <c r="O1136" s="157" t="s">
        <v>627</v>
      </c>
      <c r="P1136" s="164" t="s">
        <v>3572</v>
      </c>
    </row>
    <row r="1137" s="92" customFormat="1" ht="20.1" customHeight="1" spans="1:16">
      <c r="A1137" s="157" t="s">
        <v>3573</v>
      </c>
      <c r="B1137" s="36" t="s">
        <v>3574</v>
      </c>
      <c r="C1137" s="267">
        <v>0</v>
      </c>
      <c r="D1137" s="268">
        <f t="shared" si="232"/>
        <v>0</v>
      </c>
      <c r="E1137" s="267"/>
      <c r="F1137" s="267"/>
      <c r="G1137" s="267"/>
      <c r="H1137" s="267"/>
      <c r="I1137" s="287"/>
      <c r="J1137" s="288">
        <f t="shared" si="241"/>
        <v>0</v>
      </c>
      <c r="K1137" s="276" t="s">
        <v>1087</v>
      </c>
      <c r="L1137" s="33">
        <v>1</v>
      </c>
      <c r="M1137" s="157" t="s">
        <v>3573</v>
      </c>
      <c r="N1137" s="157"/>
      <c r="O1137" s="157" t="s">
        <v>627</v>
      </c>
      <c r="P1137" s="163" t="s">
        <v>3575</v>
      </c>
    </row>
    <row r="1138" s="92" customFormat="1" ht="20.1" customHeight="1" spans="1:16">
      <c r="A1138" s="157" t="s">
        <v>3576</v>
      </c>
      <c r="B1138" s="36" t="s">
        <v>3577</v>
      </c>
      <c r="C1138" s="267">
        <v>0</v>
      </c>
      <c r="D1138" s="268">
        <f t="shared" si="232"/>
        <v>0</v>
      </c>
      <c r="E1138" s="267"/>
      <c r="F1138" s="267"/>
      <c r="G1138" s="267"/>
      <c r="H1138" s="267"/>
      <c r="I1138" s="287"/>
      <c r="J1138" s="288">
        <f t="shared" si="241"/>
        <v>0</v>
      </c>
      <c r="K1138" s="276" t="s">
        <v>1087</v>
      </c>
      <c r="L1138" s="33">
        <v>1</v>
      </c>
      <c r="M1138" s="157" t="s">
        <v>3576</v>
      </c>
      <c r="N1138" s="157"/>
      <c r="O1138" s="157" t="s">
        <v>627</v>
      </c>
      <c r="P1138" s="163" t="s">
        <v>3578</v>
      </c>
    </row>
    <row r="1139" s="92" customFormat="1" ht="20.1" customHeight="1" spans="1:16">
      <c r="A1139" s="157" t="s">
        <v>3579</v>
      </c>
      <c r="B1139" s="36" t="s">
        <v>3580</v>
      </c>
      <c r="C1139" s="267">
        <v>0</v>
      </c>
      <c r="D1139" s="268">
        <f t="shared" si="232"/>
        <v>0</v>
      </c>
      <c r="E1139" s="267"/>
      <c r="F1139" s="267"/>
      <c r="G1139" s="267"/>
      <c r="H1139" s="267"/>
      <c r="I1139" s="287"/>
      <c r="J1139" s="288">
        <f t="shared" si="241"/>
        <v>0</v>
      </c>
      <c r="K1139" s="276" t="s">
        <v>1087</v>
      </c>
      <c r="L1139" s="33">
        <v>1</v>
      </c>
      <c r="M1139" s="157" t="s">
        <v>3579</v>
      </c>
      <c r="N1139" s="157"/>
      <c r="O1139" s="157" t="s">
        <v>627</v>
      </c>
      <c r="P1139" s="163" t="s">
        <v>3581</v>
      </c>
    </row>
    <row r="1140" s="93" customFormat="1" ht="20.1" customHeight="1" spans="1:16">
      <c r="A1140" s="263" t="s">
        <v>3582</v>
      </c>
      <c r="B1140" s="297" t="s">
        <v>913</v>
      </c>
      <c r="C1140" s="265">
        <f t="shared" ref="C1140:I1140" si="242">SUM(C1141:C1142)</f>
        <v>0</v>
      </c>
      <c r="D1140" s="265">
        <f t="shared" si="232"/>
        <v>0</v>
      </c>
      <c r="E1140" s="265">
        <f t="shared" si="242"/>
        <v>0</v>
      </c>
      <c r="F1140" s="265">
        <f t="shared" si="242"/>
        <v>0</v>
      </c>
      <c r="G1140" s="265">
        <f t="shared" si="242"/>
        <v>0</v>
      </c>
      <c r="H1140" s="265">
        <f t="shared" si="242"/>
        <v>0</v>
      </c>
      <c r="I1140" s="265">
        <f t="shared" si="242"/>
        <v>0</v>
      </c>
      <c r="J1140" s="298">
        <f t="shared" si="241"/>
        <v>0</v>
      </c>
      <c r="K1140" s="284" t="s">
        <v>1082</v>
      </c>
      <c r="L1140" s="285"/>
      <c r="M1140" s="263" t="s">
        <v>3582</v>
      </c>
      <c r="N1140" s="263" t="s">
        <v>625</v>
      </c>
      <c r="O1140" s="263" t="s">
        <v>3582</v>
      </c>
      <c r="P1140" s="297" t="s">
        <v>3583</v>
      </c>
    </row>
    <row r="1141" s="92" customFormat="1" ht="20.1" customHeight="1" spans="1:16">
      <c r="A1141" s="157" t="s">
        <v>3584</v>
      </c>
      <c r="B1141" s="36" t="s">
        <v>3585</v>
      </c>
      <c r="C1141" s="267">
        <v>0</v>
      </c>
      <c r="D1141" s="268">
        <f t="shared" si="232"/>
        <v>0</v>
      </c>
      <c r="E1141" s="267"/>
      <c r="F1141" s="267"/>
      <c r="G1141" s="267"/>
      <c r="H1141" s="267"/>
      <c r="I1141" s="287"/>
      <c r="J1141" s="288">
        <f t="shared" si="241"/>
        <v>0</v>
      </c>
      <c r="K1141" s="276" t="s">
        <v>1087</v>
      </c>
      <c r="L1141" s="33">
        <v>1</v>
      </c>
      <c r="M1141" s="157" t="s">
        <v>3584</v>
      </c>
      <c r="N1141" s="157"/>
      <c r="O1141" s="157" t="s">
        <v>3582</v>
      </c>
      <c r="P1141" s="36" t="s">
        <v>3586</v>
      </c>
    </row>
    <row r="1142" s="92" customFormat="1" ht="19.5" customHeight="1" spans="1:16">
      <c r="A1142" s="157" t="s">
        <v>3587</v>
      </c>
      <c r="B1142" s="36" t="s">
        <v>3588</v>
      </c>
      <c r="C1142" s="267"/>
      <c r="D1142" s="268">
        <f t="shared" si="232"/>
        <v>0</v>
      </c>
      <c r="E1142" s="267"/>
      <c r="F1142" s="267"/>
      <c r="G1142" s="267"/>
      <c r="H1142" s="267"/>
      <c r="I1142" s="287"/>
      <c r="J1142" s="288">
        <f t="shared" si="241"/>
        <v>0</v>
      </c>
      <c r="K1142" s="276" t="s">
        <v>1087</v>
      </c>
      <c r="L1142" s="33">
        <v>1</v>
      </c>
      <c r="M1142" s="157" t="s">
        <v>3587</v>
      </c>
      <c r="N1142" s="157"/>
      <c r="O1142" s="157" t="s">
        <v>3582</v>
      </c>
      <c r="P1142" s="36" t="s">
        <v>3589</v>
      </c>
    </row>
    <row r="1143" s="93" customFormat="1" ht="20.1" customHeight="1" spans="1:16">
      <c r="A1143" s="263" t="s">
        <v>628</v>
      </c>
      <c r="B1143" s="297" t="s">
        <v>3590</v>
      </c>
      <c r="C1143" s="265">
        <f t="shared" ref="C1143:I1143" si="243">SUM(C1144:C1145)</f>
        <v>0</v>
      </c>
      <c r="D1143" s="265">
        <f t="shared" si="232"/>
        <v>0</v>
      </c>
      <c r="E1143" s="265">
        <f t="shared" si="243"/>
        <v>0</v>
      </c>
      <c r="F1143" s="265">
        <f t="shared" si="243"/>
        <v>0</v>
      </c>
      <c r="G1143" s="265">
        <f t="shared" si="243"/>
        <v>0</v>
      </c>
      <c r="H1143" s="265">
        <f t="shared" si="243"/>
        <v>0</v>
      </c>
      <c r="I1143" s="265">
        <f t="shared" si="243"/>
        <v>0</v>
      </c>
      <c r="J1143" s="298">
        <f t="shared" si="241"/>
        <v>0</v>
      </c>
      <c r="K1143" s="284" t="s">
        <v>1082</v>
      </c>
      <c r="L1143" s="285">
        <v>1</v>
      </c>
      <c r="M1143" s="263" t="s">
        <v>628</v>
      </c>
      <c r="N1143" s="263" t="s">
        <v>625</v>
      </c>
      <c r="O1143" s="263" t="s">
        <v>628</v>
      </c>
      <c r="P1143" s="286" t="s">
        <v>3591</v>
      </c>
    </row>
    <row r="1144" s="92" customFormat="1" ht="20.1" customHeight="1" spans="1:16">
      <c r="A1144" s="157" t="s">
        <v>3592</v>
      </c>
      <c r="B1144" s="36" t="s">
        <v>3593</v>
      </c>
      <c r="C1144" s="267"/>
      <c r="D1144" s="267">
        <f t="shared" si="232"/>
        <v>0</v>
      </c>
      <c r="E1144" s="267"/>
      <c r="F1144" s="267"/>
      <c r="G1144" s="267"/>
      <c r="H1144" s="267"/>
      <c r="I1144" s="287"/>
      <c r="J1144" s="288"/>
      <c r="K1144" s="276" t="s">
        <v>1087</v>
      </c>
      <c r="L1144" s="33">
        <v>1</v>
      </c>
      <c r="M1144" s="157" t="s">
        <v>3592</v>
      </c>
      <c r="N1144" s="157"/>
      <c r="O1144" s="157" t="s">
        <v>628</v>
      </c>
      <c r="P1144" s="163" t="s">
        <v>3594</v>
      </c>
    </row>
    <row r="1145" s="92" customFormat="1" ht="20.1" customHeight="1" spans="1:16">
      <c r="A1145" s="157" t="s">
        <v>3595</v>
      </c>
      <c r="B1145" s="36" t="s">
        <v>392</v>
      </c>
      <c r="C1145" s="267"/>
      <c r="D1145" s="267">
        <f t="shared" si="232"/>
        <v>0</v>
      </c>
      <c r="E1145" s="267"/>
      <c r="F1145" s="267"/>
      <c r="G1145" s="267"/>
      <c r="H1145" s="267"/>
      <c r="I1145" s="287"/>
      <c r="J1145" s="288"/>
      <c r="K1145" s="276" t="s">
        <v>1087</v>
      </c>
      <c r="L1145" s="33">
        <v>1</v>
      </c>
      <c r="M1145" s="157" t="s">
        <v>3595</v>
      </c>
      <c r="N1145" s="157"/>
      <c r="O1145" s="157" t="s">
        <v>628</v>
      </c>
      <c r="P1145" s="163" t="s">
        <v>3591</v>
      </c>
    </row>
    <row r="1146" s="93" customFormat="1" ht="20.1" customHeight="1" spans="1:16">
      <c r="A1146" s="154" t="s">
        <v>629</v>
      </c>
      <c r="B1146" s="261" t="s">
        <v>393</v>
      </c>
      <c r="C1146" s="262">
        <v>0</v>
      </c>
      <c r="D1146" s="262">
        <f t="shared" si="232"/>
        <v>0</v>
      </c>
      <c r="E1146" s="262">
        <f t="shared" ref="E1146:H1146" si="244">SUM(E1147:E1155)</f>
        <v>0</v>
      </c>
      <c r="F1146" s="262">
        <f t="shared" si="244"/>
        <v>0</v>
      </c>
      <c r="G1146" s="262">
        <f>VLOOKUP(A1146,[1]√表四、2024年公共财政支出变动表!$A$7:$R$214,18,FALSE)</f>
        <v>0</v>
      </c>
      <c r="H1146" s="262">
        <f t="shared" si="244"/>
        <v>0</v>
      </c>
      <c r="I1146" s="262"/>
      <c r="J1146" s="279">
        <f t="shared" ref="J1146:J1171" si="245">ROUND(IF(C1146=0,IF(D1146=0,0,1),IF(D1146=0,-1,D1146/C1146)),4)*100</f>
        <v>0</v>
      </c>
      <c r="K1146" s="280" t="s">
        <v>1081</v>
      </c>
      <c r="L1146" s="281"/>
      <c r="M1146" s="154" t="s">
        <v>629</v>
      </c>
      <c r="N1146" s="154" t="s">
        <v>629</v>
      </c>
      <c r="O1146" s="154" t="s">
        <v>629</v>
      </c>
      <c r="P1146" s="282" t="s">
        <v>3596</v>
      </c>
    </row>
    <row r="1147" s="93" customFormat="1" ht="20.1" customHeight="1" spans="1:16">
      <c r="A1147" s="263" t="s">
        <v>630</v>
      </c>
      <c r="B1147" s="297" t="s">
        <v>3597</v>
      </c>
      <c r="C1147" s="265">
        <v>0</v>
      </c>
      <c r="D1147" s="265">
        <f t="shared" si="232"/>
        <v>0</v>
      </c>
      <c r="E1147" s="265"/>
      <c r="F1147" s="265"/>
      <c r="G1147" s="265"/>
      <c r="H1147" s="265"/>
      <c r="I1147" s="265"/>
      <c r="J1147" s="298">
        <f t="shared" si="245"/>
        <v>0</v>
      </c>
      <c r="K1147" s="284" t="s">
        <v>1082</v>
      </c>
      <c r="L1147" s="285">
        <v>1</v>
      </c>
      <c r="M1147" s="263" t="s">
        <v>630</v>
      </c>
      <c r="N1147" s="263" t="s">
        <v>629</v>
      </c>
      <c r="O1147" s="263" t="s">
        <v>630</v>
      </c>
      <c r="P1147" s="286" t="s">
        <v>3598</v>
      </c>
    </row>
    <row r="1148" s="93" customFormat="1" ht="20.1" customHeight="1" spans="1:16">
      <c r="A1148" s="263" t="s">
        <v>631</v>
      </c>
      <c r="B1148" s="118" t="s">
        <v>3599</v>
      </c>
      <c r="C1148" s="265">
        <v>0</v>
      </c>
      <c r="D1148" s="265">
        <f t="shared" si="232"/>
        <v>0</v>
      </c>
      <c r="E1148" s="265"/>
      <c r="F1148" s="265"/>
      <c r="G1148" s="265"/>
      <c r="H1148" s="265"/>
      <c r="I1148" s="321"/>
      <c r="J1148" s="283">
        <f t="shared" si="245"/>
        <v>0</v>
      </c>
      <c r="K1148" s="284" t="s">
        <v>1082</v>
      </c>
      <c r="L1148" s="285">
        <v>1</v>
      </c>
      <c r="M1148" s="263" t="s">
        <v>631</v>
      </c>
      <c r="N1148" s="263" t="s">
        <v>629</v>
      </c>
      <c r="O1148" s="263" t="s">
        <v>631</v>
      </c>
      <c r="P1148" s="322" t="s">
        <v>3600</v>
      </c>
    </row>
    <row r="1149" s="93" customFormat="1" ht="20.1" customHeight="1" spans="1:16">
      <c r="A1149" s="263" t="s">
        <v>632</v>
      </c>
      <c r="B1149" s="118" t="s">
        <v>3601</v>
      </c>
      <c r="C1149" s="265">
        <v>0</v>
      </c>
      <c r="D1149" s="265">
        <f t="shared" si="232"/>
        <v>0</v>
      </c>
      <c r="E1149" s="265"/>
      <c r="F1149" s="265"/>
      <c r="G1149" s="265"/>
      <c r="H1149" s="265"/>
      <c r="I1149" s="321"/>
      <c r="J1149" s="283">
        <f t="shared" si="245"/>
        <v>0</v>
      </c>
      <c r="K1149" s="284" t="s">
        <v>1082</v>
      </c>
      <c r="L1149" s="285">
        <v>1</v>
      </c>
      <c r="M1149" s="263" t="s">
        <v>632</v>
      </c>
      <c r="N1149" s="263" t="s">
        <v>629</v>
      </c>
      <c r="O1149" s="263" t="s">
        <v>632</v>
      </c>
      <c r="P1149" s="322" t="s">
        <v>3602</v>
      </c>
    </row>
    <row r="1150" s="93" customFormat="1" ht="20.1" customHeight="1" spans="1:16">
      <c r="A1150" s="263" t="s">
        <v>633</v>
      </c>
      <c r="B1150" s="118" t="s">
        <v>3603</v>
      </c>
      <c r="C1150" s="265">
        <v>0</v>
      </c>
      <c r="D1150" s="265">
        <f t="shared" si="232"/>
        <v>0</v>
      </c>
      <c r="E1150" s="265"/>
      <c r="F1150" s="265"/>
      <c r="G1150" s="265"/>
      <c r="H1150" s="265"/>
      <c r="I1150" s="321"/>
      <c r="J1150" s="283">
        <f t="shared" si="245"/>
        <v>0</v>
      </c>
      <c r="K1150" s="284" t="s">
        <v>1082</v>
      </c>
      <c r="L1150" s="285">
        <v>1</v>
      </c>
      <c r="M1150" s="263" t="s">
        <v>633</v>
      </c>
      <c r="N1150" s="263" t="s">
        <v>629</v>
      </c>
      <c r="O1150" s="263" t="s">
        <v>633</v>
      </c>
      <c r="P1150" s="322" t="s">
        <v>3604</v>
      </c>
    </row>
    <row r="1151" s="93" customFormat="1" ht="20.1" customHeight="1" spans="1:16">
      <c r="A1151" s="263" t="s">
        <v>634</v>
      </c>
      <c r="B1151" s="118" t="s">
        <v>3605</v>
      </c>
      <c r="C1151" s="265">
        <v>0</v>
      </c>
      <c r="D1151" s="265">
        <f t="shared" si="232"/>
        <v>0</v>
      </c>
      <c r="E1151" s="265"/>
      <c r="F1151" s="265"/>
      <c r="G1151" s="265"/>
      <c r="H1151" s="265"/>
      <c r="I1151" s="321"/>
      <c r="J1151" s="283">
        <f t="shared" si="245"/>
        <v>0</v>
      </c>
      <c r="K1151" s="284" t="s">
        <v>1082</v>
      </c>
      <c r="L1151" s="285">
        <v>1</v>
      </c>
      <c r="M1151" s="263" t="s">
        <v>634</v>
      </c>
      <c r="N1151" s="263" t="s">
        <v>629</v>
      </c>
      <c r="O1151" s="263" t="s">
        <v>634</v>
      </c>
      <c r="P1151" s="322" t="s">
        <v>3606</v>
      </c>
    </row>
    <row r="1152" s="93" customFormat="1" ht="20.1" customHeight="1" spans="1:16">
      <c r="A1152" s="263" t="s">
        <v>635</v>
      </c>
      <c r="B1152" s="118" t="s">
        <v>2944</v>
      </c>
      <c r="C1152" s="265">
        <v>0</v>
      </c>
      <c r="D1152" s="265">
        <f t="shared" si="232"/>
        <v>0</v>
      </c>
      <c r="E1152" s="265"/>
      <c r="F1152" s="265"/>
      <c r="G1152" s="265"/>
      <c r="H1152" s="265"/>
      <c r="I1152" s="321"/>
      <c r="J1152" s="283">
        <f t="shared" si="245"/>
        <v>0</v>
      </c>
      <c r="K1152" s="284" t="s">
        <v>1082</v>
      </c>
      <c r="L1152" s="285">
        <v>1</v>
      </c>
      <c r="M1152" s="263" t="s">
        <v>635</v>
      </c>
      <c r="N1152" s="263" t="s">
        <v>629</v>
      </c>
      <c r="O1152" s="263" t="s">
        <v>635</v>
      </c>
      <c r="P1152" s="322" t="s">
        <v>2945</v>
      </c>
    </row>
    <row r="1153" s="93" customFormat="1" ht="20.1" customHeight="1" spans="1:16">
      <c r="A1153" s="263" t="s">
        <v>636</v>
      </c>
      <c r="B1153" s="118" t="s">
        <v>3607</v>
      </c>
      <c r="C1153" s="265">
        <v>0</v>
      </c>
      <c r="D1153" s="265">
        <f t="shared" si="232"/>
        <v>0</v>
      </c>
      <c r="E1153" s="265"/>
      <c r="F1153" s="265"/>
      <c r="G1153" s="265"/>
      <c r="H1153" s="265"/>
      <c r="I1153" s="321"/>
      <c r="J1153" s="283">
        <f t="shared" si="245"/>
        <v>0</v>
      </c>
      <c r="K1153" s="284" t="s">
        <v>1082</v>
      </c>
      <c r="L1153" s="285">
        <v>1</v>
      </c>
      <c r="M1153" s="263" t="s">
        <v>636</v>
      </c>
      <c r="N1153" s="263" t="s">
        <v>629</v>
      </c>
      <c r="O1153" s="263" t="s">
        <v>636</v>
      </c>
      <c r="P1153" s="322" t="s">
        <v>3608</v>
      </c>
    </row>
    <row r="1154" s="93" customFormat="1" ht="20.1" customHeight="1" spans="1:16">
      <c r="A1154" s="263" t="s">
        <v>637</v>
      </c>
      <c r="B1154" s="118" t="s">
        <v>3609</v>
      </c>
      <c r="C1154" s="265">
        <v>0</v>
      </c>
      <c r="D1154" s="265">
        <f t="shared" si="232"/>
        <v>0</v>
      </c>
      <c r="E1154" s="265"/>
      <c r="F1154" s="265"/>
      <c r="G1154" s="265"/>
      <c r="H1154" s="265"/>
      <c r="I1154" s="321"/>
      <c r="J1154" s="283">
        <f t="shared" si="245"/>
        <v>0</v>
      </c>
      <c r="K1154" s="284" t="s">
        <v>1082</v>
      </c>
      <c r="L1154" s="285">
        <v>1</v>
      </c>
      <c r="M1154" s="263" t="s">
        <v>637</v>
      </c>
      <c r="N1154" s="263" t="s">
        <v>629</v>
      </c>
      <c r="O1154" s="263" t="s">
        <v>637</v>
      </c>
      <c r="P1154" s="322" t="s">
        <v>3610</v>
      </c>
    </row>
    <row r="1155" s="93" customFormat="1" ht="20.1" customHeight="1" spans="1:16">
      <c r="A1155" s="263" t="s">
        <v>638</v>
      </c>
      <c r="B1155" s="118" t="s">
        <v>3611</v>
      </c>
      <c r="C1155" s="265">
        <v>0</v>
      </c>
      <c r="D1155" s="265">
        <f t="shared" si="232"/>
        <v>0</v>
      </c>
      <c r="E1155" s="265"/>
      <c r="F1155" s="265"/>
      <c r="G1155" s="265"/>
      <c r="H1155" s="265"/>
      <c r="I1155" s="321"/>
      <c r="J1155" s="283">
        <f t="shared" si="245"/>
        <v>0</v>
      </c>
      <c r="K1155" s="284" t="s">
        <v>1082</v>
      </c>
      <c r="L1155" s="285">
        <v>1</v>
      </c>
      <c r="M1155" s="263" t="s">
        <v>638</v>
      </c>
      <c r="N1155" s="263" t="s">
        <v>629</v>
      </c>
      <c r="O1155" s="263" t="s">
        <v>638</v>
      </c>
      <c r="P1155" s="322" t="s">
        <v>1624</v>
      </c>
    </row>
    <row r="1156" s="93" customFormat="1" ht="20.1" customHeight="1" spans="1:16">
      <c r="A1156" s="154" t="s">
        <v>639</v>
      </c>
      <c r="B1156" s="261" t="s">
        <v>395</v>
      </c>
      <c r="C1156" s="262">
        <f t="shared" ref="C1156:I1156" si="246">C1157+C1184+C1199</f>
        <v>1185</v>
      </c>
      <c r="D1156" s="262">
        <f t="shared" si="232"/>
        <v>974</v>
      </c>
      <c r="E1156" s="262">
        <f t="shared" si="246"/>
        <v>0</v>
      </c>
      <c r="F1156" s="262">
        <f t="shared" si="246"/>
        <v>5</v>
      </c>
      <c r="G1156" s="262">
        <f t="shared" si="246"/>
        <v>65</v>
      </c>
      <c r="H1156" s="262">
        <f t="shared" si="246"/>
        <v>0</v>
      </c>
      <c r="I1156" s="262">
        <f t="shared" si="246"/>
        <v>904</v>
      </c>
      <c r="J1156" s="279">
        <f t="shared" si="245"/>
        <v>82.19</v>
      </c>
      <c r="K1156" s="280" t="s">
        <v>1081</v>
      </c>
      <c r="L1156" s="281"/>
      <c r="M1156" s="154" t="s">
        <v>639</v>
      </c>
      <c r="N1156" s="154" t="s">
        <v>639</v>
      </c>
      <c r="O1156" s="154" t="s">
        <v>639</v>
      </c>
      <c r="P1156" s="282" t="s">
        <v>3612</v>
      </c>
    </row>
    <row r="1157" s="93" customFormat="1" ht="20.1" customHeight="1" spans="1:16">
      <c r="A1157" s="263" t="s">
        <v>640</v>
      </c>
      <c r="B1157" s="297" t="s">
        <v>3613</v>
      </c>
      <c r="C1157" s="265">
        <f t="shared" ref="C1157:I1157" si="247">SUM(C1158:C1183)</f>
        <v>1132</v>
      </c>
      <c r="D1157" s="265">
        <f t="shared" si="232"/>
        <v>888</v>
      </c>
      <c r="E1157" s="265">
        <f t="shared" si="247"/>
        <v>0</v>
      </c>
      <c r="F1157" s="265">
        <f t="shared" si="247"/>
        <v>5</v>
      </c>
      <c r="G1157" s="265">
        <f t="shared" si="247"/>
        <v>65</v>
      </c>
      <c r="H1157" s="265">
        <f t="shared" si="247"/>
        <v>0</v>
      </c>
      <c r="I1157" s="265">
        <f t="shared" si="247"/>
        <v>818</v>
      </c>
      <c r="J1157" s="298">
        <f t="shared" si="245"/>
        <v>78.45</v>
      </c>
      <c r="K1157" s="284" t="s">
        <v>1082</v>
      </c>
      <c r="L1157" s="285"/>
      <c r="M1157" s="263" t="s">
        <v>640</v>
      </c>
      <c r="N1157" s="263" t="s">
        <v>639</v>
      </c>
      <c r="O1157" s="263" t="s">
        <v>640</v>
      </c>
      <c r="P1157" s="286" t="s">
        <v>3614</v>
      </c>
    </row>
    <row r="1158" s="92" customFormat="1" ht="20.1" customHeight="1" spans="1:16">
      <c r="A1158" s="157" t="s">
        <v>3615</v>
      </c>
      <c r="B1158" s="36" t="s">
        <v>1086</v>
      </c>
      <c r="C1158" s="267">
        <v>521</v>
      </c>
      <c r="D1158" s="268">
        <f t="shared" ref="D1158:D1199" si="248">SUM(E1158:I1158)</f>
        <v>495</v>
      </c>
      <c r="E1158" s="267"/>
      <c r="F1158" s="267"/>
      <c r="G1158" s="267"/>
      <c r="H1158" s="267"/>
      <c r="I1158" s="287">
        <v>495</v>
      </c>
      <c r="J1158" s="288">
        <f t="shared" si="245"/>
        <v>95.01</v>
      </c>
      <c r="K1158" s="276" t="s">
        <v>1087</v>
      </c>
      <c r="L1158" s="33">
        <v>1</v>
      </c>
      <c r="M1158" s="157" t="s">
        <v>3615</v>
      </c>
      <c r="N1158" s="157"/>
      <c r="O1158" s="157" t="s">
        <v>640</v>
      </c>
      <c r="P1158" s="164" t="s">
        <v>1088</v>
      </c>
    </row>
    <row r="1159" s="92" customFormat="1" ht="20.1" customHeight="1" spans="1:16">
      <c r="A1159" s="157" t="s">
        <v>3616</v>
      </c>
      <c r="B1159" s="36" t="s">
        <v>1090</v>
      </c>
      <c r="C1159" s="267"/>
      <c r="D1159" s="268">
        <f t="shared" si="248"/>
        <v>25</v>
      </c>
      <c r="E1159" s="267"/>
      <c r="F1159" s="267"/>
      <c r="G1159" s="267"/>
      <c r="H1159" s="267"/>
      <c r="I1159" s="287">
        <v>25</v>
      </c>
      <c r="J1159" s="288">
        <f t="shared" si="245"/>
        <v>100</v>
      </c>
      <c r="K1159" s="276" t="s">
        <v>1087</v>
      </c>
      <c r="L1159" s="33">
        <v>1</v>
      </c>
      <c r="M1159" s="157" t="s">
        <v>3616</v>
      </c>
      <c r="N1159" s="157"/>
      <c r="O1159" s="157" t="s">
        <v>640</v>
      </c>
      <c r="P1159" s="164" t="s">
        <v>1091</v>
      </c>
    </row>
    <row r="1160" s="92" customFormat="1" ht="20.1" customHeight="1" spans="1:16">
      <c r="A1160" s="157" t="s">
        <v>3617</v>
      </c>
      <c r="B1160" s="36" t="s">
        <v>1093</v>
      </c>
      <c r="C1160" s="267"/>
      <c r="D1160" s="268">
        <f t="shared" si="248"/>
        <v>0</v>
      </c>
      <c r="E1160" s="267"/>
      <c r="F1160" s="267"/>
      <c r="G1160" s="267"/>
      <c r="H1160" s="267"/>
      <c r="I1160" s="287"/>
      <c r="J1160" s="288">
        <f t="shared" si="245"/>
        <v>0</v>
      </c>
      <c r="K1160" s="276" t="s">
        <v>1087</v>
      </c>
      <c r="L1160" s="33">
        <v>1</v>
      </c>
      <c r="M1160" s="157" t="s">
        <v>3617</v>
      </c>
      <c r="N1160" s="157"/>
      <c r="O1160" s="157" t="s">
        <v>640</v>
      </c>
      <c r="P1160" s="164" t="s">
        <v>1094</v>
      </c>
    </row>
    <row r="1161" s="92" customFormat="1" ht="20.1" customHeight="1" spans="1:16">
      <c r="A1161" s="157" t="s">
        <v>3618</v>
      </c>
      <c r="B1161" s="36" t="s">
        <v>3619</v>
      </c>
      <c r="C1161" s="267"/>
      <c r="D1161" s="268">
        <f t="shared" si="248"/>
        <v>0</v>
      </c>
      <c r="E1161" s="267"/>
      <c r="F1161" s="267"/>
      <c r="G1161" s="267"/>
      <c r="H1161" s="267"/>
      <c r="I1161" s="287"/>
      <c r="J1161" s="288">
        <f t="shared" si="245"/>
        <v>0</v>
      </c>
      <c r="K1161" s="276" t="s">
        <v>1087</v>
      </c>
      <c r="L1161" s="33">
        <v>1</v>
      </c>
      <c r="M1161" s="157" t="s">
        <v>3618</v>
      </c>
      <c r="N1161" s="157"/>
      <c r="O1161" s="157" t="s">
        <v>640</v>
      </c>
      <c r="P1161" s="164" t="s">
        <v>3620</v>
      </c>
    </row>
    <row r="1162" s="92" customFormat="1" ht="20.1" customHeight="1" spans="1:16">
      <c r="A1162" s="157" t="s">
        <v>3621</v>
      </c>
      <c r="B1162" s="36" t="s">
        <v>3622</v>
      </c>
      <c r="C1162" s="267">
        <v>402</v>
      </c>
      <c r="D1162" s="268">
        <f t="shared" si="248"/>
        <v>67</v>
      </c>
      <c r="E1162" s="267"/>
      <c r="F1162" s="267">
        <v>2</v>
      </c>
      <c r="G1162" s="267">
        <v>65</v>
      </c>
      <c r="H1162" s="267"/>
      <c r="I1162" s="287"/>
      <c r="J1162" s="288">
        <f t="shared" si="245"/>
        <v>16.67</v>
      </c>
      <c r="K1162" s="276" t="s">
        <v>1087</v>
      </c>
      <c r="L1162" s="33">
        <v>1</v>
      </c>
      <c r="M1162" s="157" t="s">
        <v>3621</v>
      </c>
      <c r="N1162" s="157"/>
      <c r="O1162" s="157" t="s">
        <v>640</v>
      </c>
      <c r="P1162" s="163" t="s">
        <v>3623</v>
      </c>
    </row>
    <row r="1163" s="92" customFormat="1" ht="20.1" customHeight="1" spans="1:16">
      <c r="A1163" s="157" t="s">
        <v>3624</v>
      </c>
      <c r="B1163" s="36" t="s">
        <v>3625</v>
      </c>
      <c r="C1163" s="267"/>
      <c r="D1163" s="268">
        <f t="shared" si="248"/>
        <v>0</v>
      </c>
      <c r="E1163" s="267"/>
      <c r="F1163" s="267"/>
      <c r="G1163" s="267"/>
      <c r="H1163" s="267"/>
      <c r="I1163" s="287"/>
      <c r="J1163" s="288">
        <f t="shared" si="245"/>
        <v>0</v>
      </c>
      <c r="K1163" s="276" t="s">
        <v>1087</v>
      </c>
      <c r="L1163" s="33">
        <v>1</v>
      </c>
      <c r="M1163" s="157" t="s">
        <v>3624</v>
      </c>
      <c r="N1163" s="157"/>
      <c r="O1163" s="157" t="s">
        <v>640</v>
      </c>
      <c r="P1163" s="164" t="s">
        <v>3626</v>
      </c>
    </row>
    <row r="1164" s="92" customFormat="1" ht="20.1" customHeight="1" spans="1:16">
      <c r="A1164" s="157" t="s">
        <v>3627</v>
      </c>
      <c r="B1164" s="36" t="s">
        <v>3628</v>
      </c>
      <c r="C1164" s="267">
        <v>17</v>
      </c>
      <c r="D1164" s="268">
        <f t="shared" si="248"/>
        <v>0</v>
      </c>
      <c r="E1164" s="267"/>
      <c r="F1164" s="267"/>
      <c r="G1164" s="267"/>
      <c r="H1164" s="267"/>
      <c r="I1164" s="287"/>
      <c r="J1164" s="288">
        <f t="shared" si="245"/>
        <v>-100</v>
      </c>
      <c r="K1164" s="276" t="s">
        <v>1087</v>
      </c>
      <c r="L1164" s="33">
        <v>1</v>
      </c>
      <c r="M1164" s="157" t="s">
        <v>3627</v>
      </c>
      <c r="N1164" s="157"/>
      <c r="O1164" s="157" t="s">
        <v>640</v>
      </c>
      <c r="P1164" s="164" t="s">
        <v>3629</v>
      </c>
    </row>
    <row r="1165" s="92" customFormat="1" ht="20.1" customHeight="1" spans="1:16">
      <c r="A1165" s="157" t="s">
        <v>3630</v>
      </c>
      <c r="B1165" s="36" t="s">
        <v>3631</v>
      </c>
      <c r="C1165" s="267"/>
      <c r="D1165" s="268">
        <f t="shared" si="248"/>
        <v>3</v>
      </c>
      <c r="E1165" s="267"/>
      <c r="F1165" s="267">
        <v>3</v>
      </c>
      <c r="G1165" s="267"/>
      <c r="H1165" s="267"/>
      <c r="I1165" s="287"/>
      <c r="J1165" s="288">
        <f t="shared" si="245"/>
        <v>100</v>
      </c>
      <c r="K1165" s="276" t="s">
        <v>1087</v>
      </c>
      <c r="L1165" s="33">
        <v>1</v>
      </c>
      <c r="M1165" s="157" t="s">
        <v>3630</v>
      </c>
      <c r="N1165" s="157"/>
      <c r="O1165" s="157" t="s">
        <v>640</v>
      </c>
      <c r="P1165" s="164" t="s">
        <v>3632</v>
      </c>
    </row>
    <row r="1166" s="92" customFormat="1" ht="20.1" customHeight="1" spans="1:16">
      <c r="A1166" s="157" t="s">
        <v>3633</v>
      </c>
      <c r="B1166" s="36" t="s">
        <v>3634</v>
      </c>
      <c r="C1166" s="267">
        <v>74</v>
      </c>
      <c r="D1166" s="268">
        <f t="shared" si="248"/>
        <v>88</v>
      </c>
      <c r="E1166" s="267"/>
      <c r="F1166" s="267"/>
      <c r="G1166" s="267"/>
      <c r="H1166" s="267"/>
      <c r="I1166" s="287">
        <v>88</v>
      </c>
      <c r="J1166" s="288">
        <f t="shared" si="245"/>
        <v>118.92</v>
      </c>
      <c r="K1166" s="276" t="s">
        <v>1087</v>
      </c>
      <c r="L1166" s="33">
        <v>1</v>
      </c>
      <c r="M1166" s="157" t="s">
        <v>3633</v>
      </c>
      <c r="N1166" s="157"/>
      <c r="O1166" s="157" t="s">
        <v>640</v>
      </c>
      <c r="P1166" s="163" t="s">
        <v>3635</v>
      </c>
    </row>
    <row r="1167" s="92" customFormat="1" ht="20.1" customHeight="1" spans="1:16">
      <c r="A1167" s="157" t="s">
        <v>3636</v>
      </c>
      <c r="B1167" s="36" t="s">
        <v>3637</v>
      </c>
      <c r="C1167" s="267"/>
      <c r="D1167" s="268">
        <f t="shared" si="248"/>
        <v>0</v>
      </c>
      <c r="E1167" s="267"/>
      <c r="F1167" s="267"/>
      <c r="G1167" s="267"/>
      <c r="H1167" s="267"/>
      <c r="I1167" s="287"/>
      <c r="J1167" s="288">
        <f t="shared" si="245"/>
        <v>0</v>
      </c>
      <c r="K1167" s="276" t="s">
        <v>1087</v>
      </c>
      <c r="L1167" s="33">
        <v>1</v>
      </c>
      <c r="M1167" s="157" t="s">
        <v>3636</v>
      </c>
      <c r="N1167" s="157"/>
      <c r="O1167" s="157" t="s">
        <v>640</v>
      </c>
      <c r="P1167" s="163" t="s">
        <v>3638</v>
      </c>
    </row>
    <row r="1168" s="92" customFormat="1" ht="20.1" customHeight="1" spans="1:16">
      <c r="A1168" s="157" t="s">
        <v>3639</v>
      </c>
      <c r="B1168" s="36" t="s">
        <v>3640</v>
      </c>
      <c r="C1168" s="267"/>
      <c r="D1168" s="268">
        <f t="shared" si="248"/>
        <v>47</v>
      </c>
      <c r="E1168" s="267"/>
      <c r="F1168" s="267"/>
      <c r="G1168" s="267"/>
      <c r="H1168" s="267"/>
      <c r="I1168" s="287">
        <v>47</v>
      </c>
      <c r="J1168" s="288">
        <f t="shared" si="245"/>
        <v>100</v>
      </c>
      <c r="K1168" s="276" t="s">
        <v>1087</v>
      </c>
      <c r="L1168" s="33">
        <v>1</v>
      </c>
      <c r="M1168" s="157" t="s">
        <v>3639</v>
      </c>
      <c r="N1168" s="157"/>
      <c r="O1168" s="157" t="s">
        <v>640</v>
      </c>
      <c r="P1168" s="163" t="s">
        <v>3641</v>
      </c>
    </row>
    <row r="1169" s="92" customFormat="1" ht="20.1" customHeight="1" spans="1:16">
      <c r="A1169" s="157" t="s">
        <v>3642</v>
      </c>
      <c r="B1169" s="36" t="s">
        <v>3643</v>
      </c>
      <c r="C1169" s="267"/>
      <c r="D1169" s="268">
        <f t="shared" si="248"/>
        <v>0</v>
      </c>
      <c r="E1169" s="267"/>
      <c r="F1169" s="267"/>
      <c r="G1169" s="267"/>
      <c r="H1169" s="267"/>
      <c r="I1169" s="287"/>
      <c r="J1169" s="288">
        <f t="shared" si="245"/>
        <v>0</v>
      </c>
      <c r="K1169" s="276" t="s">
        <v>1087</v>
      </c>
      <c r="L1169" s="33">
        <v>1</v>
      </c>
      <c r="M1169" s="157" t="s">
        <v>3642</v>
      </c>
      <c r="N1169" s="157"/>
      <c r="O1169" s="157" t="s">
        <v>640</v>
      </c>
      <c r="P1169" s="163" t="s">
        <v>3644</v>
      </c>
    </row>
    <row r="1170" s="92" customFormat="1" ht="20.1" customHeight="1" spans="1:16">
      <c r="A1170" s="157" t="s">
        <v>3645</v>
      </c>
      <c r="B1170" s="36" t="s">
        <v>3646</v>
      </c>
      <c r="C1170" s="267"/>
      <c r="D1170" s="268">
        <f t="shared" si="248"/>
        <v>0</v>
      </c>
      <c r="E1170" s="267"/>
      <c r="F1170" s="267"/>
      <c r="G1170" s="267"/>
      <c r="H1170" s="267"/>
      <c r="I1170" s="287"/>
      <c r="J1170" s="288">
        <f t="shared" si="245"/>
        <v>0</v>
      </c>
      <c r="K1170" s="276" t="s">
        <v>1087</v>
      </c>
      <c r="L1170" s="33">
        <v>1</v>
      </c>
      <c r="M1170" s="157" t="s">
        <v>3645</v>
      </c>
      <c r="N1170" s="157"/>
      <c r="O1170" s="157" t="s">
        <v>640</v>
      </c>
      <c r="P1170" s="163" t="s">
        <v>3647</v>
      </c>
    </row>
    <row r="1171" s="92" customFormat="1" ht="20.1" customHeight="1" spans="1:16">
      <c r="A1171" s="157" t="s">
        <v>3648</v>
      </c>
      <c r="B1171" s="36" t="s">
        <v>3649</v>
      </c>
      <c r="C1171" s="267"/>
      <c r="D1171" s="268">
        <f t="shared" si="248"/>
        <v>0</v>
      </c>
      <c r="E1171" s="267"/>
      <c r="F1171" s="267"/>
      <c r="G1171" s="267"/>
      <c r="H1171" s="267"/>
      <c r="I1171" s="287"/>
      <c r="J1171" s="288">
        <f t="shared" si="245"/>
        <v>0</v>
      </c>
      <c r="K1171" s="276" t="s">
        <v>1087</v>
      </c>
      <c r="L1171" s="33">
        <v>1</v>
      </c>
      <c r="M1171" s="157" t="s">
        <v>3648</v>
      </c>
      <c r="N1171" s="157"/>
      <c r="O1171" s="157" t="s">
        <v>640</v>
      </c>
      <c r="P1171" s="163" t="s">
        <v>3650</v>
      </c>
    </row>
    <row r="1172" s="92" customFormat="1" ht="20.1" customHeight="1" spans="1:16">
      <c r="A1172" s="157" t="s">
        <v>3651</v>
      </c>
      <c r="B1172" s="163" t="s">
        <v>3652</v>
      </c>
      <c r="C1172" s="267"/>
      <c r="D1172" s="268">
        <f t="shared" si="248"/>
        <v>0</v>
      </c>
      <c r="E1172" s="267"/>
      <c r="F1172" s="267"/>
      <c r="G1172" s="267"/>
      <c r="H1172" s="267"/>
      <c r="I1172" s="287"/>
      <c r="J1172" s="288"/>
      <c r="K1172" s="276" t="s">
        <v>1087</v>
      </c>
      <c r="L1172" s="33">
        <v>1</v>
      </c>
      <c r="M1172" s="157" t="s">
        <v>3651</v>
      </c>
      <c r="N1172" s="157"/>
      <c r="O1172" s="157" t="s">
        <v>640</v>
      </c>
      <c r="P1172" s="163" t="s">
        <v>3653</v>
      </c>
    </row>
    <row r="1173" s="92" customFormat="1" ht="20.1" customHeight="1" spans="1:16">
      <c r="A1173" s="157" t="s">
        <v>3654</v>
      </c>
      <c r="B1173" s="163" t="s">
        <v>3655</v>
      </c>
      <c r="C1173" s="267"/>
      <c r="D1173" s="268">
        <f t="shared" si="248"/>
        <v>0</v>
      </c>
      <c r="E1173" s="267"/>
      <c r="F1173" s="267"/>
      <c r="G1173" s="267"/>
      <c r="H1173" s="267"/>
      <c r="I1173" s="287"/>
      <c r="J1173" s="288"/>
      <c r="K1173" s="276" t="s">
        <v>1087</v>
      </c>
      <c r="L1173" s="33">
        <v>1</v>
      </c>
      <c r="M1173" s="157" t="s">
        <v>3654</v>
      </c>
      <c r="N1173" s="157"/>
      <c r="O1173" s="157" t="s">
        <v>640</v>
      </c>
      <c r="P1173" s="163" t="s">
        <v>3656</v>
      </c>
    </row>
    <row r="1174" s="92" customFormat="1" ht="20.1" customHeight="1" spans="1:16">
      <c r="A1174" s="157" t="s">
        <v>3657</v>
      </c>
      <c r="B1174" s="163" t="s">
        <v>3658</v>
      </c>
      <c r="C1174" s="267"/>
      <c r="D1174" s="268">
        <f t="shared" si="248"/>
        <v>0</v>
      </c>
      <c r="E1174" s="267"/>
      <c r="F1174" s="267"/>
      <c r="G1174" s="267"/>
      <c r="H1174" s="267"/>
      <c r="I1174" s="287"/>
      <c r="J1174" s="288"/>
      <c r="K1174" s="276" t="s">
        <v>1087</v>
      </c>
      <c r="L1174" s="33">
        <v>1</v>
      </c>
      <c r="M1174" s="157" t="s">
        <v>3657</v>
      </c>
      <c r="N1174" s="157"/>
      <c r="O1174" s="157" t="s">
        <v>640</v>
      </c>
      <c r="P1174" s="163" t="s">
        <v>3659</v>
      </c>
    </row>
    <row r="1175" s="92" customFormat="1" ht="20.1" customHeight="1" spans="1:16">
      <c r="A1175" s="157" t="s">
        <v>3660</v>
      </c>
      <c r="B1175" s="163" t="s">
        <v>3661</v>
      </c>
      <c r="C1175" s="267"/>
      <c r="D1175" s="268">
        <f t="shared" si="248"/>
        <v>0</v>
      </c>
      <c r="E1175" s="267"/>
      <c r="F1175" s="267"/>
      <c r="G1175" s="267"/>
      <c r="H1175" s="267"/>
      <c r="I1175" s="287"/>
      <c r="J1175" s="288"/>
      <c r="K1175" s="276" t="s">
        <v>1087</v>
      </c>
      <c r="L1175" s="33">
        <v>1</v>
      </c>
      <c r="M1175" s="157" t="s">
        <v>3660</v>
      </c>
      <c r="N1175" s="157"/>
      <c r="O1175" s="157" t="s">
        <v>640</v>
      </c>
      <c r="P1175" s="163" t="s">
        <v>3662</v>
      </c>
    </row>
    <row r="1176" s="92" customFormat="1" ht="20.1" customHeight="1" spans="1:16">
      <c r="A1176" s="157" t="s">
        <v>3663</v>
      </c>
      <c r="B1176" s="163" t="s">
        <v>3664</v>
      </c>
      <c r="C1176" s="267"/>
      <c r="D1176" s="268">
        <f t="shared" si="248"/>
        <v>0</v>
      </c>
      <c r="E1176" s="267"/>
      <c r="F1176" s="267"/>
      <c r="G1176" s="267"/>
      <c r="H1176" s="267"/>
      <c r="I1176" s="287"/>
      <c r="J1176" s="288"/>
      <c r="K1176" s="276" t="s">
        <v>1087</v>
      </c>
      <c r="L1176" s="33">
        <v>1</v>
      </c>
      <c r="M1176" s="157" t="s">
        <v>3663</v>
      </c>
      <c r="N1176" s="157"/>
      <c r="O1176" s="157" t="s">
        <v>640</v>
      </c>
      <c r="P1176" s="163" t="s">
        <v>3665</v>
      </c>
    </row>
    <row r="1177" s="92" customFormat="1" ht="20.1" customHeight="1" spans="1:16">
      <c r="A1177" s="157" t="s">
        <v>3666</v>
      </c>
      <c r="B1177" s="163" t="s">
        <v>3667</v>
      </c>
      <c r="C1177" s="267"/>
      <c r="D1177" s="268">
        <f t="shared" si="248"/>
        <v>0</v>
      </c>
      <c r="E1177" s="267"/>
      <c r="F1177" s="267"/>
      <c r="G1177" s="267"/>
      <c r="H1177" s="267"/>
      <c r="I1177" s="287"/>
      <c r="J1177" s="288"/>
      <c r="K1177" s="276" t="s">
        <v>1087</v>
      </c>
      <c r="L1177" s="33">
        <v>1</v>
      </c>
      <c r="M1177" s="157" t="s">
        <v>3666</v>
      </c>
      <c r="N1177" s="157"/>
      <c r="O1177" s="157" t="s">
        <v>640</v>
      </c>
      <c r="P1177" s="163" t="s">
        <v>3668</v>
      </c>
    </row>
    <row r="1178" s="92" customFormat="1" ht="20.1" customHeight="1" spans="1:16">
      <c r="A1178" s="157" t="s">
        <v>3669</v>
      </c>
      <c r="B1178" s="163" t="s">
        <v>3670</v>
      </c>
      <c r="C1178" s="267"/>
      <c r="D1178" s="268">
        <f t="shared" si="248"/>
        <v>0</v>
      </c>
      <c r="E1178" s="267"/>
      <c r="F1178" s="267"/>
      <c r="G1178" s="267"/>
      <c r="H1178" s="267"/>
      <c r="I1178" s="287"/>
      <c r="J1178" s="288"/>
      <c r="K1178" s="276" t="s">
        <v>1087</v>
      </c>
      <c r="L1178" s="33">
        <v>1</v>
      </c>
      <c r="M1178" s="157" t="s">
        <v>3669</v>
      </c>
      <c r="N1178" s="157"/>
      <c r="O1178" s="157" t="s">
        <v>640</v>
      </c>
      <c r="P1178" s="163" t="s">
        <v>3671</v>
      </c>
    </row>
    <row r="1179" s="92" customFormat="1" ht="20.1" customHeight="1" spans="1:16">
      <c r="A1179" s="157" t="s">
        <v>3672</v>
      </c>
      <c r="B1179" s="163" t="s">
        <v>3673</v>
      </c>
      <c r="C1179" s="267"/>
      <c r="D1179" s="268">
        <f t="shared" si="248"/>
        <v>0</v>
      </c>
      <c r="E1179" s="267"/>
      <c r="F1179" s="267"/>
      <c r="G1179" s="267"/>
      <c r="H1179" s="267"/>
      <c r="I1179" s="287"/>
      <c r="J1179" s="288"/>
      <c r="K1179" s="276" t="s">
        <v>1087</v>
      </c>
      <c r="L1179" s="33">
        <v>1</v>
      </c>
      <c r="M1179" s="157" t="s">
        <v>3672</v>
      </c>
      <c r="N1179" s="157"/>
      <c r="O1179" s="157" t="s">
        <v>640</v>
      </c>
      <c r="P1179" s="163" t="s">
        <v>3674</v>
      </c>
    </row>
    <row r="1180" s="92" customFormat="1" ht="20.1" customHeight="1" spans="1:16">
      <c r="A1180" s="157" t="s">
        <v>3675</v>
      </c>
      <c r="B1180" s="163" t="s">
        <v>3676</v>
      </c>
      <c r="C1180" s="267"/>
      <c r="D1180" s="268">
        <f t="shared" si="248"/>
        <v>0</v>
      </c>
      <c r="E1180" s="267"/>
      <c r="F1180" s="267"/>
      <c r="G1180" s="267"/>
      <c r="H1180" s="267"/>
      <c r="I1180" s="287"/>
      <c r="J1180" s="288"/>
      <c r="K1180" s="276" t="s">
        <v>1087</v>
      </c>
      <c r="L1180" s="33">
        <v>1</v>
      </c>
      <c r="M1180" s="157" t="s">
        <v>3675</v>
      </c>
      <c r="N1180" s="157"/>
      <c r="O1180" s="157" t="s">
        <v>640</v>
      </c>
      <c r="P1180" s="163" t="s">
        <v>3677</v>
      </c>
    </row>
    <row r="1181" s="92" customFormat="1" ht="20.1" customHeight="1" spans="1:16">
      <c r="A1181" s="157" t="s">
        <v>3678</v>
      </c>
      <c r="B1181" s="163" t="s">
        <v>3679</v>
      </c>
      <c r="C1181" s="267"/>
      <c r="D1181" s="268">
        <f t="shared" si="248"/>
        <v>0</v>
      </c>
      <c r="E1181" s="267"/>
      <c r="F1181" s="267"/>
      <c r="G1181" s="267"/>
      <c r="H1181" s="267"/>
      <c r="I1181" s="287"/>
      <c r="J1181" s="288"/>
      <c r="K1181" s="276" t="s">
        <v>1087</v>
      </c>
      <c r="L1181" s="33">
        <v>1</v>
      </c>
      <c r="M1181" s="157" t="s">
        <v>3678</v>
      </c>
      <c r="N1181" s="157"/>
      <c r="O1181" s="157" t="s">
        <v>640</v>
      </c>
      <c r="P1181" s="163" t="s">
        <v>3680</v>
      </c>
    </row>
    <row r="1182" s="92" customFormat="1" ht="20.1" customHeight="1" spans="1:16">
      <c r="A1182" s="157" t="s">
        <v>3681</v>
      </c>
      <c r="B1182" s="36" t="s">
        <v>1114</v>
      </c>
      <c r="C1182" s="267"/>
      <c r="D1182" s="268">
        <f t="shared" si="248"/>
        <v>10</v>
      </c>
      <c r="E1182" s="267"/>
      <c r="F1182" s="267"/>
      <c r="G1182" s="267"/>
      <c r="H1182" s="267"/>
      <c r="I1182" s="287">
        <v>10</v>
      </c>
      <c r="J1182" s="288">
        <f t="shared" ref="J1182:J1199" si="249">ROUND(IF(C1182=0,IF(D1182=0,0,1),IF(D1182=0,-1,D1182/C1182)),4)*100</f>
        <v>100</v>
      </c>
      <c r="K1182" s="276" t="s">
        <v>1087</v>
      </c>
      <c r="L1182" s="33">
        <v>1</v>
      </c>
      <c r="M1182" s="157" t="s">
        <v>3681</v>
      </c>
      <c r="N1182" s="157"/>
      <c r="O1182" s="157" t="s">
        <v>640</v>
      </c>
      <c r="P1182" s="164" t="s">
        <v>1115</v>
      </c>
    </row>
    <row r="1183" s="92" customFormat="1" ht="20.1" customHeight="1" spans="1:16">
      <c r="A1183" s="157" t="s">
        <v>3682</v>
      </c>
      <c r="B1183" s="36" t="s">
        <v>3683</v>
      </c>
      <c r="C1183" s="267">
        <v>118</v>
      </c>
      <c r="D1183" s="268">
        <f t="shared" si="248"/>
        <v>153</v>
      </c>
      <c r="E1183" s="267"/>
      <c r="F1183" s="267"/>
      <c r="G1183" s="267"/>
      <c r="H1183" s="267"/>
      <c r="I1183" s="287">
        <v>153</v>
      </c>
      <c r="J1183" s="288">
        <f t="shared" si="249"/>
        <v>129.66</v>
      </c>
      <c r="K1183" s="276" t="s">
        <v>1087</v>
      </c>
      <c r="L1183" s="33">
        <v>1</v>
      </c>
      <c r="M1183" s="157" t="s">
        <v>3682</v>
      </c>
      <c r="N1183" s="157"/>
      <c r="O1183" s="157" t="s">
        <v>640</v>
      </c>
      <c r="P1183" s="164" t="s">
        <v>3684</v>
      </c>
    </row>
    <row r="1184" s="93" customFormat="1" ht="20.1" customHeight="1" spans="1:16">
      <c r="A1184" s="263" t="s">
        <v>643</v>
      </c>
      <c r="B1184" s="297" t="s">
        <v>3685</v>
      </c>
      <c r="C1184" s="265">
        <f t="shared" ref="C1184:I1184" si="250">SUM(C1185:C1198)</f>
        <v>53</v>
      </c>
      <c r="D1184" s="265">
        <f t="shared" si="248"/>
        <v>86</v>
      </c>
      <c r="E1184" s="265">
        <f t="shared" si="250"/>
        <v>0</v>
      </c>
      <c r="F1184" s="265">
        <f t="shared" si="250"/>
        <v>0</v>
      </c>
      <c r="G1184" s="265">
        <f t="shared" si="250"/>
        <v>0</v>
      </c>
      <c r="H1184" s="265">
        <f t="shared" si="250"/>
        <v>0</v>
      </c>
      <c r="I1184" s="265">
        <f t="shared" si="250"/>
        <v>86</v>
      </c>
      <c r="J1184" s="298">
        <f t="shared" si="249"/>
        <v>162.26</v>
      </c>
      <c r="K1184" s="284" t="s">
        <v>1082</v>
      </c>
      <c r="L1184" s="285"/>
      <c r="M1184" s="263" t="s">
        <v>643</v>
      </c>
      <c r="N1184" s="263" t="s">
        <v>639</v>
      </c>
      <c r="O1184" s="263" t="s">
        <v>643</v>
      </c>
      <c r="P1184" s="286" t="s">
        <v>3686</v>
      </c>
    </row>
    <row r="1185" s="92" customFormat="1" ht="20.1" customHeight="1" spans="1:16">
      <c r="A1185" s="157" t="s">
        <v>3687</v>
      </c>
      <c r="B1185" s="36" t="s">
        <v>1086</v>
      </c>
      <c r="C1185" s="267">
        <v>5</v>
      </c>
      <c r="D1185" s="268">
        <f t="shared" si="248"/>
        <v>7</v>
      </c>
      <c r="E1185" s="267"/>
      <c r="F1185" s="267"/>
      <c r="G1185" s="267"/>
      <c r="H1185" s="267"/>
      <c r="I1185" s="287">
        <v>7</v>
      </c>
      <c r="J1185" s="288">
        <f t="shared" si="249"/>
        <v>140</v>
      </c>
      <c r="K1185" s="276" t="s">
        <v>1087</v>
      </c>
      <c r="L1185" s="33">
        <v>1</v>
      </c>
      <c r="M1185" s="157" t="s">
        <v>3687</v>
      </c>
      <c r="N1185" s="157"/>
      <c r="O1185" s="157" t="s">
        <v>643</v>
      </c>
      <c r="P1185" s="164" t="s">
        <v>1088</v>
      </c>
    </row>
    <row r="1186" s="92" customFormat="1" ht="20.1" customHeight="1" spans="1:16">
      <c r="A1186" s="157" t="s">
        <v>3688</v>
      </c>
      <c r="B1186" s="36" t="s">
        <v>1090</v>
      </c>
      <c r="C1186" s="267"/>
      <c r="D1186" s="268">
        <f t="shared" si="248"/>
        <v>0</v>
      </c>
      <c r="E1186" s="267"/>
      <c r="F1186" s="267"/>
      <c r="G1186" s="267"/>
      <c r="H1186" s="267"/>
      <c r="I1186" s="287"/>
      <c r="J1186" s="288">
        <f t="shared" si="249"/>
        <v>0</v>
      </c>
      <c r="K1186" s="276" t="s">
        <v>1087</v>
      </c>
      <c r="L1186" s="33">
        <v>1</v>
      </c>
      <c r="M1186" s="157" t="s">
        <v>3688</v>
      </c>
      <c r="N1186" s="157"/>
      <c r="O1186" s="157" t="s">
        <v>643</v>
      </c>
      <c r="P1186" s="164" t="s">
        <v>1091</v>
      </c>
    </row>
    <row r="1187" s="92" customFormat="1" ht="20.1" customHeight="1" spans="1:16">
      <c r="A1187" s="157" t="s">
        <v>3689</v>
      </c>
      <c r="B1187" s="36" t="s">
        <v>1093</v>
      </c>
      <c r="C1187" s="267"/>
      <c r="D1187" s="268">
        <f t="shared" si="248"/>
        <v>0</v>
      </c>
      <c r="E1187" s="267"/>
      <c r="F1187" s="267"/>
      <c r="G1187" s="267"/>
      <c r="H1187" s="267"/>
      <c r="I1187" s="287"/>
      <c r="J1187" s="288">
        <f t="shared" si="249"/>
        <v>0</v>
      </c>
      <c r="K1187" s="276" t="s">
        <v>1087</v>
      </c>
      <c r="L1187" s="33">
        <v>1</v>
      </c>
      <c r="M1187" s="157" t="s">
        <v>3689</v>
      </c>
      <c r="N1187" s="157"/>
      <c r="O1187" s="157" t="s">
        <v>643</v>
      </c>
      <c r="P1187" s="164" t="s">
        <v>1094</v>
      </c>
    </row>
    <row r="1188" s="92" customFormat="1" ht="20.1" customHeight="1" spans="1:16">
      <c r="A1188" s="157" t="s">
        <v>3690</v>
      </c>
      <c r="B1188" s="36" t="s">
        <v>3691</v>
      </c>
      <c r="C1188" s="267">
        <v>28</v>
      </c>
      <c r="D1188" s="268">
        <f t="shared" si="248"/>
        <v>45</v>
      </c>
      <c r="E1188" s="267"/>
      <c r="F1188" s="267"/>
      <c r="G1188" s="267"/>
      <c r="H1188" s="267"/>
      <c r="I1188" s="287">
        <v>45</v>
      </c>
      <c r="J1188" s="288">
        <f t="shared" si="249"/>
        <v>160.71</v>
      </c>
      <c r="K1188" s="276" t="s">
        <v>1087</v>
      </c>
      <c r="L1188" s="33">
        <v>1</v>
      </c>
      <c r="M1188" s="157" t="s">
        <v>3690</v>
      </c>
      <c r="N1188" s="157"/>
      <c r="O1188" s="157" t="s">
        <v>643</v>
      </c>
      <c r="P1188" s="163" t="s">
        <v>3692</v>
      </c>
    </row>
    <row r="1189" s="92" customFormat="1" ht="20.1" customHeight="1" spans="1:16">
      <c r="A1189" s="157" t="s">
        <v>3693</v>
      </c>
      <c r="B1189" s="36" t="s">
        <v>3694</v>
      </c>
      <c r="C1189" s="267"/>
      <c r="D1189" s="268">
        <f t="shared" si="248"/>
        <v>0</v>
      </c>
      <c r="E1189" s="267"/>
      <c r="F1189" s="267"/>
      <c r="G1189" s="267"/>
      <c r="H1189" s="267"/>
      <c r="I1189" s="287"/>
      <c r="J1189" s="288">
        <f t="shared" si="249"/>
        <v>0</v>
      </c>
      <c r="K1189" s="276" t="s">
        <v>1087</v>
      </c>
      <c r="L1189" s="33">
        <v>1</v>
      </c>
      <c r="M1189" s="157" t="s">
        <v>3693</v>
      </c>
      <c r="N1189" s="157"/>
      <c r="O1189" s="157" t="s">
        <v>643</v>
      </c>
      <c r="P1189" s="163" t="s">
        <v>3695</v>
      </c>
    </row>
    <row r="1190" s="92" customFormat="1" ht="20.1" customHeight="1" spans="1:16">
      <c r="A1190" s="157" t="s">
        <v>3696</v>
      </c>
      <c r="B1190" s="36" t="s">
        <v>3697</v>
      </c>
      <c r="C1190" s="267"/>
      <c r="D1190" s="268">
        <f t="shared" si="248"/>
        <v>0</v>
      </c>
      <c r="E1190" s="267"/>
      <c r="F1190" s="267"/>
      <c r="G1190" s="267"/>
      <c r="H1190" s="267"/>
      <c r="I1190" s="287"/>
      <c r="J1190" s="288">
        <f t="shared" si="249"/>
        <v>0</v>
      </c>
      <c r="K1190" s="276" t="s">
        <v>1087</v>
      </c>
      <c r="L1190" s="33">
        <v>1</v>
      </c>
      <c r="M1190" s="157" t="s">
        <v>3696</v>
      </c>
      <c r="N1190" s="157"/>
      <c r="O1190" s="157" t="s">
        <v>643</v>
      </c>
      <c r="P1190" s="163" t="s">
        <v>3698</v>
      </c>
    </row>
    <row r="1191" s="92" customFormat="1" ht="20.1" customHeight="1" spans="1:16">
      <c r="A1191" s="157" t="s">
        <v>3699</v>
      </c>
      <c r="B1191" s="36" t="s">
        <v>3700</v>
      </c>
      <c r="C1191" s="267"/>
      <c r="D1191" s="268">
        <f t="shared" si="248"/>
        <v>0</v>
      </c>
      <c r="E1191" s="267"/>
      <c r="F1191" s="267"/>
      <c r="G1191" s="267"/>
      <c r="H1191" s="267"/>
      <c r="I1191" s="287"/>
      <c r="J1191" s="288">
        <f t="shared" si="249"/>
        <v>0</v>
      </c>
      <c r="K1191" s="276" t="s">
        <v>1087</v>
      </c>
      <c r="L1191" s="33">
        <v>1</v>
      </c>
      <c r="M1191" s="157" t="s">
        <v>3699</v>
      </c>
      <c r="N1191" s="157"/>
      <c r="O1191" s="157" t="s">
        <v>643</v>
      </c>
      <c r="P1191" s="163" t="s">
        <v>3701</v>
      </c>
    </row>
    <row r="1192" s="92" customFormat="1" ht="20.1" customHeight="1" spans="1:16">
      <c r="A1192" s="157" t="s">
        <v>3702</v>
      </c>
      <c r="B1192" s="36" t="s">
        <v>3703</v>
      </c>
      <c r="C1192" s="267">
        <v>20</v>
      </c>
      <c r="D1192" s="268">
        <f t="shared" si="248"/>
        <v>21</v>
      </c>
      <c r="E1192" s="267"/>
      <c r="F1192" s="267"/>
      <c r="G1192" s="267"/>
      <c r="H1192" s="267"/>
      <c r="I1192" s="287">
        <v>21</v>
      </c>
      <c r="J1192" s="288">
        <f t="shared" si="249"/>
        <v>105</v>
      </c>
      <c r="K1192" s="276" t="s">
        <v>1087</v>
      </c>
      <c r="L1192" s="33">
        <v>1</v>
      </c>
      <c r="M1192" s="157" t="s">
        <v>3702</v>
      </c>
      <c r="N1192" s="157"/>
      <c r="O1192" s="157" t="s">
        <v>643</v>
      </c>
      <c r="P1192" s="163" t="s">
        <v>3704</v>
      </c>
    </row>
    <row r="1193" s="92" customFormat="1" ht="20.1" customHeight="1" spans="1:16">
      <c r="A1193" s="157" t="s">
        <v>3705</v>
      </c>
      <c r="B1193" s="36" t="s">
        <v>3706</v>
      </c>
      <c r="C1193" s="267"/>
      <c r="D1193" s="268">
        <f t="shared" si="248"/>
        <v>13</v>
      </c>
      <c r="E1193" s="267"/>
      <c r="F1193" s="267"/>
      <c r="G1193" s="267"/>
      <c r="H1193" s="267"/>
      <c r="I1193" s="287">
        <v>13</v>
      </c>
      <c r="J1193" s="288">
        <f t="shared" si="249"/>
        <v>100</v>
      </c>
      <c r="K1193" s="276" t="s">
        <v>1087</v>
      </c>
      <c r="L1193" s="33">
        <v>1</v>
      </c>
      <c r="M1193" s="157" t="s">
        <v>3705</v>
      </c>
      <c r="N1193" s="157"/>
      <c r="O1193" s="157" t="s">
        <v>643</v>
      </c>
      <c r="P1193" s="163" t="s">
        <v>3707</v>
      </c>
    </row>
    <row r="1194" s="92" customFormat="1" ht="20.1" customHeight="1" spans="1:16">
      <c r="A1194" s="157" t="s">
        <v>3708</v>
      </c>
      <c r="B1194" s="36" t="s">
        <v>3709</v>
      </c>
      <c r="C1194" s="267"/>
      <c r="D1194" s="268">
        <f t="shared" si="248"/>
        <v>0</v>
      </c>
      <c r="E1194" s="267"/>
      <c r="F1194" s="267"/>
      <c r="G1194" s="267"/>
      <c r="H1194" s="267"/>
      <c r="I1194" s="287"/>
      <c r="J1194" s="288">
        <f t="shared" si="249"/>
        <v>0</v>
      </c>
      <c r="K1194" s="276" t="s">
        <v>1087</v>
      </c>
      <c r="L1194" s="33">
        <v>1</v>
      </c>
      <c r="M1194" s="157" t="s">
        <v>3708</v>
      </c>
      <c r="N1194" s="157"/>
      <c r="O1194" s="157" t="s">
        <v>643</v>
      </c>
      <c r="P1194" s="163" t="s">
        <v>3710</v>
      </c>
    </row>
    <row r="1195" s="92" customFormat="1" ht="20.1" customHeight="1" spans="1:16">
      <c r="A1195" s="157" t="s">
        <v>3711</v>
      </c>
      <c r="B1195" s="36" t="s">
        <v>3712</v>
      </c>
      <c r="C1195" s="267"/>
      <c r="D1195" s="268">
        <f t="shared" si="248"/>
        <v>0</v>
      </c>
      <c r="E1195" s="267"/>
      <c r="F1195" s="267"/>
      <c r="G1195" s="267"/>
      <c r="H1195" s="267"/>
      <c r="I1195" s="287"/>
      <c r="J1195" s="288">
        <f t="shared" si="249"/>
        <v>0</v>
      </c>
      <c r="K1195" s="276" t="s">
        <v>1087</v>
      </c>
      <c r="L1195" s="33">
        <v>1</v>
      </c>
      <c r="M1195" s="157" t="s">
        <v>3711</v>
      </c>
      <c r="N1195" s="157"/>
      <c r="O1195" s="157" t="s">
        <v>643</v>
      </c>
      <c r="P1195" s="163" t="s">
        <v>3713</v>
      </c>
    </row>
    <row r="1196" s="92" customFormat="1" ht="20.1" customHeight="1" spans="1:16">
      <c r="A1196" s="157" t="s">
        <v>3714</v>
      </c>
      <c r="B1196" s="36" t="s">
        <v>3715</v>
      </c>
      <c r="C1196" s="267"/>
      <c r="D1196" s="268">
        <f t="shared" si="248"/>
        <v>0</v>
      </c>
      <c r="E1196" s="267"/>
      <c r="F1196" s="267"/>
      <c r="G1196" s="267"/>
      <c r="H1196" s="267"/>
      <c r="I1196" s="287"/>
      <c r="J1196" s="288">
        <f t="shared" si="249"/>
        <v>0</v>
      </c>
      <c r="K1196" s="276" t="s">
        <v>1087</v>
      </c>
      <c r="L1196" s="33">
        <v>1</v>
      </c>
      <c r="M1196" s="157" t="s">
        <v>3714</v>
      </c>
      <c r="N1196" s="157"/>
      <c r="O1196" s="157" t="s">
        <v>643</v>
      </c>
      <c r="P1196" s="163" t="s">
        <v>3716</v>
      </c>
    </row>
    <row r="1197" s="92" customFormat="1" ht="20.1" customHeight="1" spans="1:16">
      <c r="A1197" s="157" t="s">
        <v>3717</v>
      </c>
      <c r="B1197" s="36" t="s">
        <v>3718</v>
      </c>
      <c r="C1197" s="267"/>
      <c r="D1197" s="268">
        <f t="shared" si="248"/>
        <v>0</v>
      </c>
      <c r="E1197" s="267"/>
      <c r="F1197" s="267"/>
      <c r="G1197" s="267"/>
      <c r="H1197" s="267"/>
      <c r="I1197" s="287"/>
      <c r="J1197" s="288">
        <f t="shared" si="249"/>
        <v>0</v>
      </c>
      <c r="K1197" s="276" t="s">
        <v>1087</v>
      </c>
      <c r="L1197" s="33">
        <v>1</v>
      </c>
      <c r="M1197" s="157" t="s">
        <v>3717</v>
      </c>
      <c r="N1197" s="157"/>
      <c r="O1197" s="157" t="s">
        <v>643</v>
      </c>
      <c r="P1197" s="163" t="s">
        <v>3719</v>
      </c>
    </row>
    <row r="1198" s="92" customFormat="1" ht="20.1" customHeight="1" spans="1:16">
      <c r="A1198" s="157" t="s">
        <v>3720</v>
      </c>
      <c r="B1198" s="36" t="s">
        <v>3721</v>
      </c>
      <c r="C1198" s="267"/>
      <c r="D1198" s="268">
        <f t="shared" si="248"/>
        <v>0</v>
      </c>
      <c r="E1198" s="267"/>
      <c r="F1198" s="267"/>
      <c r="G1198" s="267"/>
      <c r="H1198" s="267"/>
      <c r="I1198" s="287"/>
      <c r="J1198" s="288">
        <f t="shared" si="249"/>
        <v>0</v>
      </c>
      <c r="K1198" s="276" t="s">
        <v>1087</v>
      </c>
      <c r="L1198" s="33">
        <v>1</v>
      </c>
      <c r="M1198" s="157" t="s">
        <v>3720</v>
      </c>
      <c r="N1198" s="157"/>
      <c r="O1198" s="157" t="s">
        <v>643</v>
      </c>
      <c r="P1198" s="163" t="s">
        <v>3722</v>
      </c>
    </row>
    <row r="1199" s="93" customFormat="1" ht="20.1" customHeight="1" spans="1:16">
      <c r="A1199" s="263" t="s">
        <v>644</v>
      </c>
      <c r="B1199" s="297" t="s">
        <v>3723</v>
      </c>
      <c r="C1199" s="265">
        <v>0</v>
      </c>
      <c r="D1199" s="265">
        <f t="shared" si="248"/>
        <v>0</v>
      </c>
      <c r="E1199" s="265"/>
      <c r="F1199" s="265"/>
      <c r="G1199" s="265">
        <f>VLOOKUP(A1199,[1]√表四、2024年公共财政支出变动表!$A$7:$R$214,18,FALSE)</f>
        <v>0</v>
      </c>
      <c r="H1199" s="265"/>
      <c r="I1199" s="265"/>
      <c r="J1199" s="298">
        <f t="shared" si="249"/>
        <v>0</v>
      </c>
      <c r="K1199" s="284" t="s">
        <v>1082</v>
      </c>
      <c r="L1199" s="285">
        <v>1</v>
      </c>
      <c r="M1199" s="263" t="s">
        <v>644</v>
      </c>
      <c r="N1199" s="263" t="s">
        <v>639</v>
      </c>
      <c r="O1199" s="263" t="s">
        <v>644</v>
      </c>
      <c r="P1199" s="286" t="s">
        <v>3724</v>
      </c>
    </row>
    <row r="1200" s="92" customFormat="1" ht="20.1" customHeight="1" spans="1:16">
      <c r="A1200" s="157" t="s">
        <v>3725</v>
      </c>
      <c r="B1200" s="269" t="s">
        <v>400</v>
      </c>
      <c r="C1200" s="267"/>
      <c r="D1200" s="267"/>
      <c r="E1200" s="267"/>
      <c r="F1200" s="267"/>
      <c r="G1200" s="267"/>
      <c r="H1200" s="267"/>
      <c r="I1200" s="267"/>
      <c r="J1200" s="159"/>
      <c r="K1200" s="276" t="s">
        <v>1087</v>
      </c>
      <c r="L1200" s="33">
        <v>1</v>
      </c>
      <c r="M1200" s="157" t="s">
        <v>3725</v>
      </c>
      <c r="N1200" s="157"/>
      <c r="O1200" s="157" t="s">
        <v>644</v>
      </c>
      <c r="P1200" s="163" t="s">
        <v>3724</v>
      </c>
    </row>
    <row r="1201" s="93" customFormat="1" ht="20.1" customHeight="1" spans="1:16">
      <c r="A1201" s="154" t="s">
        <v>645</v>
      </c>
      <c r="B1201" s="261" t="s">
        <v>401</v>
      </c>
      <c r="C1201" s="262">
        <f t="shared" ref="C1201:I1201" si="251">C1202+C1212+C1216</f>
        <v>9689</v>
      </c>
      <c r="D1201" s="262">
        <f t="shared" ref="D1201:D1262" si="252">SUM(E1201:I1201)</f>
        <v>4831</v>
      </c>
      <c r="E1201" s="262">
        <f t="shared" si="251"/>
        <v>492</v>
      </c>
      <c r="F1201" s="262">
        <f t="shared" si="251"/>
        <v>0</v>
      </c>
      <c r="G1201" s="262">
        <f t="shared" si="251"/>
        <v>398</v>
      </c>
      <c r="H1201" s="262">
        <f t="shared" si="251"/>
        <v>0</v>
      </c>
      <c r="I1201" s="262">
        <f t="shared" si="251"/>
        <v>3941</v>
      </c>
      <c r="J1201" s="279">
        <f t="shared" ref="J1201:J1207" si="253">ROUND(IF(C1201=0,IF(D1201=0,0,1),IF(D1201=0,-1,D1201/C1201)),4)*100</f>
        <v>49.86</v>
      </c>
      <c r="K1201" s="280" t="s">
        <v>1081</v>
      </c>
      <c r="L1201" s="281"/>
      <c r="M1201" s="154" t="s">
        <v>645</v>
      </c>
      <c r="N1201" s="154" t="s">
        <v>645</v>
      </c>
      <c r="O1201" s="154" t="s">
        <v>645</v>
      </c>
      <c r="P1201" s="282" t="s">
        <v>3726</v>
      </c>
    </row>
    <row r="1202" s="93" customFormat="1" ht="20.1" customHeight="1" spans="1:16">
      <c r="A1202" s="263" t="s">
        <v>646</v>
      </c>
      <c r="B1202" s="297" t="s">
        <v>3727</v>
      </c>
      <c r="C1202" s="265">
        <f t="shared" ref="C1202:I1202" si="254">SUM(C1203:C1211)</f>
        <v>530</v>
      </c>
      <c r="D1202" s="265">
        <f t="shared" si="252"/>
        <v>920</v>
      </c>
      <c r="E1202" s="265">
        <f t="shared" si="254"/>
        <v>492</v>
      </c>
      <c r="F1202" s="265">
        <f t="shared" si="254"/>
        <v>0</v>
      </c>
      <c r="G1202" s="265">
        <f t="shared" si="254"/>
        <v>398</v>
      </c>
      <c r="H1202" s="265">
        <f t="shared" si="254"/>
        <v>0</v>
      </c>
      <c r="I1202" s="265">
        <f t="shared" si="254"/>
        <v>30</v>
      </c>
      <c r="J1202" s="298">
        <f t="shared" si="253"/>
        <v>173.58</v>
      </c>
      <c r="K1202" s="284" t="s">
        <v>1082</v>
      </c>
      <c r="L1202" s="285"/>
      <c r="M1202" s="263" t="s">
        <v>646</v>
      </c>
      <c r="N1202" s="263" t="s">
        <v>645</v>
      </c>
      <c r="O1202" s="263" t="s">
        <v>646</v>
      </c>
      <c r="P1202" s="286" t="s">
        <v>3728</v>
      </c>
    </row>
    <row r="1203" s="92" customFormat="1" ht="20.1" customHeight="1" spans="1:16">
      <c r="A1203" s="157" t="s">
        <v>3729</v>
      </c>
      <c r="B1203" s="36" t="s">
        <v>3730</v>
      </c>
      <c r="C1203" s="267"/>
      <c r="D1203" s="268">
        <f t="shared" si="252"/>
        <v>0</v>
      </c>
      <c r="E1203" s="267"/>
      <c r="F1203" s="267"/>
      <c r="G1203" s="267"/>
      <c r="H1203" s="267"/>
      <c r="I1203" s="287"/>
      <c r="J1203" s="288">
        <f t="shared" si="253"/>
        <v>0</v>
      </c>
      <c r="K1203" s="276" t="s">
        <v>1087</v>
      </c>
      <c r="L1203" s="33">
        <v>1</v>
      </c>
      <c r="M1203" s="157" t="s">
        <v>3729</v>
      </c>
      <c r="N1203" s="157"/>
      <c r="O1203" s="157" t="s">
        <v>646</v>
      </c>
      <c r="P1203" s="163" t="s">
        <v>3731</v>
      </c>
    </row>
    <row r="1204" s="92" customFormat="1" ht="20.1" customHeight="1" spans="1:16">
      <c r="A1204" s="157" t="s">
        <v>3732</v>
      </c>
      <c r="B1204" s="36" t="s">
        <v>3733</v>
      </c>
      <c r="C1204" s="267">
        <v>37</v>
      </c>
      <c r="D1204" s="268">
        <f t="shared" si="252"/>
        <v>0</v>
      </c>
      <c r="E1204" s="267"/>
      <c r="F1204" s="267"/>
      <c r="G1204" s="267"/>
      <c r="H1204" s="267"/>
      <c r="I1204" s="287"/>
      <c r="J1204" s="288">
        <f t="shared" si="253"/>
        <v>-100</v>
      </c>
      <c r="K1204" s="276" t="s">
        <v>1087</v>
      </c>
      <c r="L1204" s="33">
        <v>1</v>
      </c>
      <c r="M1204" s="157" t="s">
        <v>3732</v>
      </c>
      <c r="N1204" s="157"/>
      <c r="O1204" s="157" t="s">
        <v>646</v>
      </c>
      <c r="P1204" s="163" t="s">
        <v>3734</v>
      </c>
    </row>
    <row r="1205" s="92" customFormat="1" ht="20.1" customHeight="1" spans="1:16">
      <c r="A1205" s="157" t="s">
        <v>3735</v>
      </c>
      <c r="B1205" s="36" t="s">
        <v>3736</v>
      </c>
      <c r="C1205" s="267"/>
      <c r="D1205" s="268">
        <f t="shared" si="252"/>
        <v>0</v>
      </c>
      <c r="E1205" s="267"/>
      <c r="F1205" s="267"/>
      <c r="G1205" s="267"/>
      <c r="H1205" s="267"/>
      <c r="I1205" s="287"/>
      <c r="J1205" s="288">
        <f t="shared" si="253"/>
        <v>0</v>
      </c>
      <c r="K1205" s="276" t="s">
        <v>1087</v>
      </c>
      <c r="L1205" s="33">
        <v>1</v>
      </c>
      <c r="M1205" s="157" t="s">
        <v>3735</v>
      </c>
      <c r="N1205" s="157"/>
      <c r="O1205" s="157" t="s">
        <v>646</v>
      </c>
      <c r="P1205" s="163" t="s">
        <v>3737</v>
      </c>
    </row>
    <row r="1206" s="92" customFormat="1" ht="20.1" customHeight="1" spans="1:16">
      <c r="A1206" s="157" t="s">
        <v>3738</v>
      </c>
      <c r="B1206" s="36" t="s">
        <v>3739</v>
      </c>
      <c r="C1206" s="267">
        <v>286</v>
      </c>
      <c r="D1206" s="268">
        <f t="shared" si="252"/>
        <v>344</v>
      </c>
      <c r="E1206" s="267">
        <v>344</v>
      </c>
      <c r="F1206" s="267"/>
      <c r="G1206" s="267"/>
      <c r="H1206" s="267"/>
      <c r="I1206" s="287"/>
      <c r="J1206" s="288">
        <f t="shared" si="253"/>
        <v>120.28</v>
      </c>
      <c r="K1206" s="276" t="s">
        <v>1087</v>
      </c>
      <c r="L1206" s="33">
        <v>1</v>
      </c>
      <c r="M1206" s="157" t="s">
        <v>3738</v>
      </c>
      <c r="N1206" s="157"/>
      <c r="O1206" s="157" t="s">
        <v>646</v>
      </c>
      <c r="P1206" s="163" t="s">
        <v>3740</v>
      </c>
    </row>
    <row r="1207" s="92" customFormat="1" ht="20.1" customHeight="1" spans="1:16">
      <c r="A1207" s="636" t="s">
        <v>3741</v>
      </c>
      <c r="B1207" s="637" t="s">
        <v>3742</v>
      </c>
      <c r="C1207" s="267">
        <v>207</v>
      </c>
      <c r="D1207" s="268">
        <f t="shared" si="252"/>
        <v>546</v>
      </c>
      <c r="E1207" s="267">
        <v>148</v>
      </c>
      <c r="F1207" s="267"/>
      <c r="G1207" s="267">
        <v>398</v>
      </c>
      <c r="H1207" s="267"/>
      <c r="I1207" s="287"/>
      <c r="J1207" s="288">
        <f t="shared" si="253"/>
        <v>263.77</v>
      </c>
      <c r="K1207" s="276" t="s">
        <v>1087</v>
      </c>
      <c r="L1207" s="33">
        <v>1</v>
      </c>
      <c r="M1207" s="636" t="s">
        <v>3741</v>
      </c>
      <c r="N1207" s="157"/>
      <c r="O1207" s="157" t="s">
        <v>646</v>
      </c>
      <c r="P1207" s="42" t="s">
        <v>3743</v>
      </c>
    </row>
    <row r="1208" s="92" customFormat="1" ht="20.1" customHeight="1" spans="1:16">
      <c r="A1208" s="172" t="s">
        <v>3744</v>
      </c>
      <c r="B1208" s="36" t="s">
        <v>3745</v>
      </c>
      <c r="C1208" s="267"/>
      <c r="D1208" s="268">
        <f t="shared" si="252"/>
        <v>0</v>
      </c>
      <c r="E1208" s="267"/>
      <c r="F1208" s="267"/>
      <c r="G1208" s="267"/>
      <c r="H1208" s="267"/>
      <c r="I1208" s="287"/>
      <c r="J1208" s="288"/>
      <c r="K1208" s="276" t="s">
        <v>1087</v>
      </c>
      <c r="L1208" s="33">
        <v>1</v>
      </c>
      <c r="M1208" s="172" t="s">
        <v>3744</v>
      </c>
      <c r="N1208" s="157"/>
      <c r="O1208" s="157" t="s">
        <v>646</v>
      </c>
      <c r="P1208" s="36" t="s">
        <v>3746</v>
      </c>
    </row>
    <row r="1209" s="92" customFormat="1" ht="20.1" customHeight="1" spans="1:16">
      <c r="A1209" s="172" t="s">
        <v>3747</v>
      </c>
      <c r="B1209" s="36" t="s">
        <v>3748</v>
      </c>
      <c r="C1209" s="267"/>
      <c r="D1209" s="268">
        <f t="shared" si="252"/>
        <v>0</v>
      </c>
      <c r="E1209" s="267"/>
      <c r="F1209" s="267"/>
      <c r="G1209" s="267"/>
      <c r="H1209" s="267"/>
      <c r="I1209" s="287"/>
      <c r="J1209" s="288"/>
      <c r="K1209" s="276" t="s">
        <v>1087</v>
      </c>
      <c r="L1209" s="33">
        <v>1</v>
      </c>
      <c r="M1209" s="172" t="s">
        <v>3747</v>
      </c>
      <c r="N1209" s="157"/>
      <c r="O1209" s="157" t="s">
        <v>646</v>
      </c>
      <c r="P1209" s="36" t="s">
        <v>3749</v>
      </c>
    </row>
    <row r="1210" s="92" customFormat="1" ht="20.1" customHeight="1" spans="1:16">
      <c r="A1210" s="172" t="s">
        <v>3750</v>
      </c>
      <c r="B1210" s="637" t="s">
        <v>3751</v>
      </c>
      <c r="C1210" s="267"/>
      <c r="D1210" s="268">
        <f t="shared" si="252"/>
        <v>0</v>
      </c>
      <c r="E1210" s="267"/>
      <c r="F1210" s="267"/>
      <c r="G1210" s="267"/>
      <c r="H1210" s="267"/>
      <c r="I1210" s="287"/>
      <c r="J1210" s="288"/>
      <c r="K1210" s="276" t="s">
        <v>1087</v>
      </c>
      <c r="L1210" s="33">
        <v>1</v>
      </c>
      <c r="M1210" s="172" t="s">
        <v>3750</v>
      </c>
      <c r="N1210" s="157"/>
      <c r="O1210" s="157" t="s">
        <v>646</v>
      </c>
      <c r="P1210" s="42" t="s">
        <v>3752</v>
      </c>
    </row>
    <row r="1211" s="92" customFormat="1" ht="20.1" customHeight="1" spans="1:16">
      <c r="A1211" s="157" t="s">
        <v>3753</v>
      </c>
      <c r="B1211" s="36" t="s">
        <v>3754</v>
      </c>
      <c r="C1211" s="267"/>
      <c r="D1211" s="268">
        <f t="shared" si="252"/>
        <v>30</v>
      </c>
      <c r="E1211" s="267"/>
      <c r="F1211" s="267"/>
      <c r="G1211" s="267"/>
      <c r="H1211" s="267"/>
      <c r="I1211" s="287">
        <v>30</v>
      </c>
      <c r="J1211" s="288">
        <f t="shared" ref="J1211:J1233" si="255">ROUND(IF(C1211=0,IF(D1211=0,0,1),IF(D1211=0,-1,D1211/C1211)),4)*100</f>
        <v>100</v>
      </c>
      <c r="K1211" s="276" t="s">
        <v>1087</v>
      </c>
      <c r="L1211" s="33">
        <v>1</v>
      </c>
      <c r="M1211" s="157" t="s">
        <v>3753</v>
      </c>
      <c r="N1211" s="157"/>
      <c r="O1211" s="157" t="s">
        <v>646</v>
      </c>
      <c r="P1211" s="163" t="s">
        <v>3755</v>
      </c>
    </row>
    <row r="1212" s="93" customFormat="1" ht="20.1" customHeight="1" spans="1:16">
      <c r="A1212" s="263" t="s">
        <v>647</v>
      </c>
      <c r="B1212" s="297" t="s">
        <v>3756</v>
      </c>
      <c r="C1212" s="265">
        <f t="shared" ref="C1212:I1212" si="256">SUM(C1213:C1215)</f>
        <v>9159</v>
      </c>
      <c r="D1212" s="265">
        <f t="shared" si="252"/>
        <v>3911</v>
      </c>
      <c r="E1212" s="265">
        <f t="shared" si="256"/>
        <v>0</v>
      </c>
      <c r="F1212" s="265">
        <f t="shared" si="256"/>
        <v>0</v>
      </c>
      <c r="G1212" s="265">
        <f t="shared" si="256"/>
        <v>0</v>
      </c>
      <c r="H1212" s="265">
        <f t="shared" si="256"/>
        <v>0</v>
      </c>
      <c r="I1212" s="265">
        <f t="shared" si="256"/>
        <v>3911</v>
      </c>
      <c r="J1212" s="298">
        <f t="shared" si="255"/>
        <v>42.7</v>
      </c>
      <c r="K1212" s="284" t="s">
        <v>1082</v>
      </c>
      <c r="L1212" s="285"/>
      <c r="M1212" s="263" t="s">
        <v>647</v>
      </c>
      <c r="N1212" s="263" t="s">
        <v>645</v>
      </c>
      <c r="O1212" s="263" t="s">
        <v>647</v>
      </c>
      <c r="P1212" s="286" t="s">
        <v>3757</v>
      </c>
    </row>
    <row r="1213" s="92" customFormat="1" ht="20.1" customHeight="1" spans="1:16">
      <c r="A1213" s="157" t="s">
        <v>3758</v>
      </c>
      <c r="B1213" s="36" t="s">
        <v>3759</v>
      </c>
      <c r="C1213" s="267">
        <v>9159</v>
      </c>
      <c r="D1213" s="268">
        <f t="shared" si="252"/>
        <v>3911</v>
      </c>
      <c r="E1213" s="267"/>
      <c r="F1213" s="267"/>
      <c r="G1213" s="267"/>
      <c r="H1213" s="267"/>
      <c r="I1213" s="287">
        <v>3911</v>
      </c>
      <c r="J1213" s="288">
        <f t="shared" si="255"/>
        <v>42.7</v>
      </c>
      <c r="K1213" s="276" t="s">
        <v>1087</v>
      </c>
      <c r="L1213" s="33">
        <v>1</v>
      </c>
      <c r="M1213" s="157" t="s">
        <v>3758</v>
      </c>
      <c r="N1213" s="157"/>
      <c r="O1213" s="157" t="s">
        <v>647</v>
      </c>
      <c r="P1213" s="163" t="s">
        <v>3760</v>
      </c>
    </row>
    <row r="1214" s="92" customFormat="1" ht="20.1" customHeight="1" spans="1:16">
      <c r="A1214" s="157" t="s">
        <v>3761</v>
      </c>
      <c r="B1214" s="36" t="s">
        <v>3762</v>
      </c>
      <c r="C1214" s="267">
        <v>0</v>
      </c>
      <c r="D1214" s="268">
        <f t="shared" si="252"/>
        <v>0</v>
      </c>
      <c r="E1214" s="267"/>
      <c r="F1214" s="267"/>
      <c r="G1214" s="267"/>
      <c r="H1214" s="267"/>
      <c r="I1214" s="287"/>
      <c r="J1214" s="288">
        <f t="shared" si="255"/>
        <v>0</v>
      </c>
      <c r="K1214" s="276" t="s">
        <v>1087</v>
      </c>
      <c r="L1214" s="33">
        <v>1</v>
      </c>
      <c r="M1214" s="157" t="s">
        <v>3761</v>
      </c>
      <c r="N1214" s="157"/>
      <c r="O1214" s="157" t="s">
        <v>647</v>
      </c>
      <c r="P1214" s="163" t="s">
        <v>3763</v>
      </c>
    </row>
    <row r="1215" s="92" customFormat="1" ht="20.1" customHeight="1" spans="1:16">
      <c r="A1215" s="157" t="s">
        <v>3764</v>
      </c>
      <c r="B1215" s="36" t="s">
        <v>3765</v>
      </c>
      <c r="C1215" s="267">
        <v>0</v>
      </c>
      <c r="D1215" s="268">
        <f t="shared" si="252"/>
        <v>0</v>
      </c>
      <c r="E1215" s="267"/>
      <c r="F1215" s="267"/>
      <c r="G1215" s="267"/>
      <c r="H1215" s="267"/>
      <c r="I1215" s="287"/>
      <c r="J1215" s="288">
        <f t="shared" si="255"/>
        <v>0</v>
      </c>
      <c r="K1215" s="276" t="s">
        <v>1087</v>
      </c>
      <c r="L1215" s="33">
        <v>1</v>
      </c>
      <c r="M1215" s="157" t="s">
        <v>3764</v>
      </c>
      <c r="N1215" s="157"/>
      <c r="O1215" s="157" t="s">
        <v>647</v>
      </c>
      <c r="P1215" s="163" t="s">
        <v>3766</v>
      </c>
    </row>
    <row r="1216" s="93" customFormat="1" ht="20.1" customHeight="1" spans="1:16">
      <c r="A1216" s="263" t="s">
        <v>648</v>
      </c>
      <c r="B1216" s="297" t="s">
        <v>3767</v>
      </c>
      <c r="C1216" s="265">
        <f t="shared" ref="C1216:I1216" si="257">SUM(C1217:C1219)</f>
        <v>0</v>
      </c>
      <c r="D1216" s="265">
        <f t="shared" si="252"/>
        <v>0</v>
      </c>
      <c r="E1216" s="265">
        <f t="shared" si="257"/>
        <v>0</v>
      </c>
      <c r="F1216" s="265">
        <f t="shared" si="257"/>
        <v>0</v>
      </c>
      <c r="G1216" s="265">
        <f t="shared" si="257"/>
        <v>0</v>
      </c>
      <c r="H1216" s="265">
        <f t="shared" si="257"/>
        <v>0</v>
      </c>
      <c r="I1216" s="265">
        <f t="shared" si="257"/>
        <v>0</v>
      </c>
      <c r="J1216" s="298">
        <f t="shared" si="255"/>
        <v>0</v>
      </c>
      <c r="K1216" s="284" t="s">
        <v>1082</v>
      </c>
      <c r="L1216" s="285"/>
      <c r="M1216" s="263" t="s">
        <v>648</v>
      </c>
      <c r="N1216" s="263" t="s">
        <v>645</v>
      </c>
      <c r="O1216" s="263" t="s">
        <v>648</v>
      </c>
      <c r="P1216" s="286" t="s">
        <v>3768</v>
      </c>
    </row>
    <row r="1217" s="92" customFormat="1" ht="20.1" customHeight="1" spans="1:16">
      <c r="A1217" s="157" t="s">
        <v>3769</v>
      </c>
      <c r="B1217" s="36" t="s">
        <v>3770</v>
      </c>
      <c r="C1217" s="267"/>
      <c r="D1217" s="268">
        <f t="shared" si="252"/>
        <v>0</v>
      </c>
      <c r="E1217" s="267"/>
      <c r="F1217" s="267"/>
      <c r="G1217" s="267"/>
      <c r="H1217" s="267"/>
      <c r="I1217" s="287"/>
      <c r="J1217" s="288">
        <f t="shared" si="255"/>
        <v>0</v>
      </c>
      <c r="K1217" s="276" t="s">
        <v>1087</v>
      </c>
      <c r="L1217" s="33">
        <v>1</v>
      </c>
      <c r="M1217" s="157" t="s">
        <v>3769</v>
      </c>
      <c r="N1217" s="157"/>
      <c r="O1217" s="157" t="s">
        <v>648</v>
      </c>
      <c r="P1217" s="163" t="s">
        <v>3771</v>
      </c>
    </row>
    <row r="1218" s="92" customFormat="1" ht="20.1" customHeight="1" spans="1:16">
      <c r="A1218" s="157" t="s">
        <v>3772</v>
      </c>
      <c r="B1218" s="36" t="s">
        <v>3773</v>
      </c>
      <c r="C1218" s="267">
        <v>0</v>
      </c>
      <c r="D1218" s="268">
        <f t="shared" si="252"/>
        <v>0</v>
      </c>
      <c r="E1218" s="267"/>
      <c r="F1218" s="267"/>
      <c r="G1218" s="267"/>
      <c r="H1218" s="267"/>
      <c r="I1218" s="287"/>
      <c r="J1218" s="288">
        <f t="shared" si="255"/>
        <v>0</v>
      </c>
      <c r="K1218" s="276" t="s">
        <v>1087</v>
      </c>
      <c r="L1218" s="33">
        <v>1</v>
      </c>
      <c r="M1218" s="157" t="s">
        <v>3772</v>
      </c>
      <c r="N1218" s="157"/>
      <c r="O1218" s="157" t="s">
        <v>648</v>
      </c>
      <c r="P1218" s="163" t="s">
        <v>3774</v>
      </c>
    </row>
    <row r="1219" s="92" customFormat="1" ht="20.1" customHeight="1" spans="1:16">
      <c r="A1219" s="157" t="s">
        <v>3775</v>
      </c>
      <c r="B1219" s="36" t="s">
        <v>3776</v>
      </c>
      <c r="C1219" s="267">
        <v>0</v>
      </c>
      <c r="D1219" s="268">
        <f t="shared" si="252"/>
        <v>0</v>
      </c>
      <c r="E1219" s="267"/>
      <c r="F1219" s="267"/>
      <c r="G1219" s="267"/>
      <c r="H1219" s="267"/>
      <c r="I1219" s="287"/>
      <c r="J1219" s="288">
        <f t="shared" si="255"/>
        <v>0</v>
      </c>
      <c r="K1219" s="276" t="s">
        <v>1087</v>
      </c>
      <c r="L1219" s="33">
        <v>1</v>
      </c>
      <c r="M1219" s="157" t="s">
        <v>3775</v>
      </c>
      <c r="N1219" s="157"/>
      <c r="O1219" s="157" t="s">
        <v>648</v>
      </c>
      <c r="P1219" s="163" t="s">
        <v>3777</v>
      </c>
    </row>
    <row r="1220" s="93" customFormat="1" ht="20.1" customHeight="1" spans="1:16">
      <c r="A1220" s="154" t="s">
        <v>649</v>
      </c>
      <c r="B1220" s="261" t="s">
        <v>405</v>
      </c>
      <c r="C1220" s="262">
        <f t="shared" ref="C1220:I1220" si="258">C1221+C1239+C1246+C1252</f>
        <v>146</v>
      </c>
      <c r="D1220" s="262">
        <f t="shared" si="252"/>
        <v>97</v>
      </c>
      <c r="E1220" s="262">
        <f t="shared" si="258"/>
        <v>0</v>
      </c>
      <c r="F1220" s="262">
        <f t="shared" si="258"/>
        <v>0</v>
      </c>
      <c r="G1220" s="262">
        <f t="shared" si="258"/>
        <v>0</v>
      </c>
      <c r="H1220" s="262">
        <f t="shared" si="258"/>
        <v>0</v>
      </c>
      <c r="I1220" s="262">
        <f t="shared" si="258"/>
        <v>97</v>
      </c>
      <c r="J1220" s="279">
        <f t="shared" si="255"/>
        <v>66.44</v>
      </c>
      <c r="K1220" s="280" t="s">
        <v>1081</v>
      </c>
      <c r="L1220" s="281"/>
      <c r="M1220" s="154" t="s">
        <v>649</v>
      </c>
      <c r="N1220" s="154" t="s">
        <v>649</v>
      </c>
      <c r="O1220" s="154" t="s">
        <v>649</v>
      </c>
      <c r="P1220" s="282" t="s">
        <v>3778</v>
      </c>
    </row>
    <row r="1221" s="93" customFormat="1" ht="20.1" customHeight="1" spans="1:16">
      <c r="A1221" s="263" t="s">
        <v>650</v>
      </c>
      <c r="B1221" s="297" t="s">
        <v>3779</v>
      </c>
      <c r="C1221" s="265">
        <f t="shared" ref="C1221:I1221" si="259">SUM(C1222:C1238)</f>
        <v>116</v>
      </c>
      <c r="D1221" s="265">
        <f t="shared" si="252"/>
        <v>97</v>
      </c>
      <c r="E1221" s="265">
        <f t="shared" si="259"/>
        <v>0</v>
      </c>
      <c r="F1221" s="265">
        <f t="shared" si="259"/>
        <v>0</v>
      </c>
      <c r="G1221" s="265">
        <f t="shared" si="259"/>
        <v>0</v>
      </c>
      <c r="H1221" s="265">
        <f t="shared" si="259"/>
        <v>0</v>
      </c>
      <c r="I1221" s="265">
        <f t="shared" si="259"/>
        <v>97</v>
      </c>
      <c r="J1221" s="298">
        <f t="shared" si="255"/>
        <v>83.62</v>
      </c>
      <c r="K1221" s="284" t="s">
        <v>1082</v>
      </c>
      <c r="L1221" s="285"/>
      <c r="M1221" s="263" t="s">
        <v>650</v>
      </c>
      <c r="N1221" s="263" t="s">
        <v>649</v>
      </c>
      <c r="O1221" s="263" t="s">
        <v>650</v>
      </c>
      <c r="P1221" s="286" t="s">
        <v>3780</v>
      </c>
    </row>
    <row r="1222" s="92" customFormat="1" ht="20.1" customHeight="1" spans="1:16">
      <c r="A1222" s="157" t="s">
        <v>3781</v>
      </c>
      <c r="B1222" s="36" t="s">
        <v>1086</v>
      </c>
      <c r="C1222" s="267">
        <v>0</v>
      </c>
      <c r="D1222" s="268">
        <f t="shared" si="252"/>
        <v>0</v>
      </c>
      <c r="E1222" s="267"/>
      <c r="F1222" s="267"/>
      <c r="G1222" s="267"/>
      <c r="H1222" s="267"/>
      <c r="I1222" s="287"/>
      <c r="J1222" s="288">
        <f t="shared" si="255"/>
        <v>0</v>
      </c>
      <c r="K1222" s="276" t="s">
        <v>1087</v>
      </c>
      <c r="L1222" s="33">
        <v>1</v>
      </c>
      <c r="M1222" s="157" t="s">
        <v>3781</v>
      </c>
      <c r="N1222" s="157"/>
      <c r="O1222" s="157" t="s">
        <v>650</v>
      </c>
      <c r="P1222" s="164" t="s">
        <v>1088</v>
      </c>
    </row>
    <row r="1223" s="92" customFormat="1" ht="20.1" customHeight="1" spans="1:16">
      <c r="A1223" s="157" t="s">
        <v>3782</v>
      </c>
      <c r="B1223" s="36" t="s">
        <v>1090</v>
      </c>
      <c r="C1223" s="267">
        <v>0</v>
      </c>
      <c r="D1223" s="268">
        <f t="shared" si="252"/>
        <v>0</v>
      </c>
      <c r="E1223" s="267"/>
      <c r="F1223" s="267"/>
      <c r="G1223" s="267"/>
      <c r="H1223" s="267"/>
      <c r="I1223" s="287"/>
      <c r="J1223" s="288">
        <f t="shared" si="255"/>
        <v>0</v>
      </c>
      <c r="K1223" s="276" t="s">
        <v>1087</v>
      </c>
      <c r="L1223" s="33">
        <v>1</v>
      </c>
      <c r="M1223" s="157" t="s">
        <v>3782</v>
      </c>
      <c r="N1223" s="157"/>
      <c r="O1223" s="157" t="s">
        <v>650</v>
      </c>
      <c r="P1223" s="164" t="s">
        <v>1091</v>
      </c>
    </row>
    <row r="1224" s="92" customFormat="1" ht="20.1" customHeight="1" spans="1:16">
      <c r="A1224" s="157" t="s">
        <v>3783</v>
      </c>
      <c r="B1224" s="36" t="s">
        <v>1093</v>
      </c>
      <c r="C1224" s="267">
        <v>0</v>
      </c>
      <c r="D1224" s="268">
        <f t="shared" si="252"/>
        <v>0</v>
      </c>
      <c r="E1224" s="267"/>
      <c r="F1224" s="267"/>
      <c r="G1224" s="267"/>
      <c r="H1224" s="267"/>
      <c r="I1224" s="287"/>
      <c r="J1224" s="288">
        <f t="shared" si="255"/>
        <v>0</v>
      </c>
      <c r="K1224" s="276" t="s">
        <v>1087</v>
      </c>
      <c r="L1224" s="33">
        <v>1</v>
      </c>
      <c r="M1224" s="157" t="s">
        <v>3783</v>
      </c>
      <c r="N1224" s="157"/>
      <c r="O1224" s="157" t="s">
        <v>650</v>
      </c>
      <c r="P1224" s="164" t="s">
        <v>1094</v>
      </c>
    </row>
    <row r="1225" s="92" customFormat="1" ht="20.1" customHeight="1" spans="1:16">
      <c r="A1225" s="157" t="s">
        <v>3784</v>
      </c>
      <c r="B1225" s="36" t="s">
        <v>3785</v>
      </c>
      <c r="C1225" s="267">
        <v>0</v>
      </c>
      <c r="D1225" s="268">
        <f t="shared" si="252"/>
        <v>0</v>
      </c>
      <c r="E1225" s="267"/>
      <c r="F1225" s="267"/>
      <c r="G1225" s="267"/>
      <c r="H1225" s="267"/>
      <c r="I1225" s="287"/>
      <c r="J1225" s="288">
        <f t="shared" si="255"/>
        <v>0</v>
      </c>
      <c r="K1225" s="276" t="s">
        <v>1087</v>
      </c>
      <c r="L1225" s="33">
        <v>1</v>
      </c>
      <c r="M1225" s="157" t="s">
        <v>3784</v>
      </c>
      <c r="N1225" s="157"/>
      <c r="O1225" s="157" t="s">
        <v>650</v>
      </c>
      <c r="P1225" s="163" t="s">
        <v>3786</v>
      </c>
    </row>
    <row r="1226" s="92" customFormat="1" ht="20.1" customHeight="1" spans="1:16">
      <c r="A1226" s="157" t="s">
        <v>3787</v>
      </c>
      <c r="B1226" s="36" t="s">
        <v>3788</v>
      </c>
      <c r="C1226" s="267"/>
      <c r="D1226" s="268">
        <f t="shared" si="252"/>
        <v>0</v>
      </c>
      <c r="E1226" s="267"/>
      <c r="F1226" s="267"/>
      <c r="G1226" s="267"/>
      <c r="H1226" s="267"/>
      <c r="I1226" s="287"/>
      <c r="J1226" s="288">
        <f t="shared" si="255"/>
        <v>0</v>
      </c>
      <c r="K1226" s="276" t="s">
        <v>1087</v>
      </c>
      <c r="L1226" s="33">
        <v>1</v>
      </c>
      <c r="M1226" s="157" t="s">
        <v>3787</v>
      </c>
      <c r="N1226" s="157"/>
      <c r="O1226" s="157" t="s">
        <v>650</v>
      </c>
      <c r="P1226" s="163" t="s">
        <v>3789</v>
      </c>
    </row>
    <row r="1227" s="92" customFormat="1" ht="20.1" customHeight="1" spans="1:16">
      <c r="A1227" s="157" t="s">
        <v>3790</v>
      </c>
      <c r="B1227" s="36" t="s">
        <v>3791</v>
      </c>
      <c r="C1227" s="267">
        <v>0</v>
      </c>
      <c r="D1227" s="268">
        <f t="shared" si="252"/>
        <v>0</v>
      </c>
      <c r="E1227" s="267"/>
      <c r="F1227" s="267"/>
      <c r="G1227" s="267"/>
      <c r="H1227" s="267"/>
      <c r="I1227" s="287"/>
      <c r="J1227" s="288">
        <f t="shared" si="255"/>
        <v>0</v>
      </c>
      <c r="K1227" s="276" t="s">
        <v>1087</v>
      </c>
      <c r="L1227" s="33">
        <v>1</v>
      </c>
      <c r="M1227" s="157" t="s">
        <v>3790</v>
      </c>
      <c r="N1227" s="157"/>
      <c r="O1227" s="157" t="s">
        <v>650</v>
      </c>
      <c r="P1227" s="163" t="s">
        <v>3792</v>
      </c>
    </row>
    <row r="1228" s="92" customFormat="1" ht="20.1" customHeight="1" spans="1:16">
      <c r="A1228" s="157" t="s">
        <v>3793</v>
      </c>
      <c r="B1228" s="36" t="s">
        <v>3794</v>
      </c>
      <c r="C1228" s="267">
        <v>0</v>
      </c>
      <c r="D1228" s="268">
        <f t="shared" si="252"/>
        <v>0</v>
      </c>
      <c r="E1228" s="267"/>
      <c r="F1228" s="267"/>
      <c r="G1228" s="267"/>
      <c r="H1228" s="267"/>
      <c r="I1228" s="287"/>
      <c r="J1228" s="288">
        <f t="shared" si="255"/>
        <v>0</v>
      </c>
      <c r="K1228" s="276" t="s">
        <v>1087</v>
      </c>
      <c r="L1228" s="33">
        <v>1</v>
      </c>
      <c r="M1228" s="157" t="s">
        <v>3793</v>
      </c>
      <c r="N1228" s="157"/>
      <c r="O1228" s="157" t="s">
        <v>650</v>
      </c>
      <c r="P1228" s="163" t="s">
        <v>3795</v>
      </c>
    </row>
    <row r="1229" s="92" customFormat="1" ht="20.1" customHeight="1" spans="1:16">
      <c r="A1229" s="157" t="s">
        <v>3796</v>
      </c>
      <c r="B1229" s="36" t="s">
        <v>3797</v>
      </c>
      <c r="C1229" s="267">
        <v>0</v>
      </c>
      <c r="D1229" s="268">
        <f t="shared" si="252"/>
        <v>0</v>
      </c>
      <c r="E1229" s="267"/>
      <c r="F1229" s="267"/>
      <c r="G1229" s="267"/>
      <c r="H1229" s="267"/>
      <c r="I1229" s="287"/>
      <c r="J1229" s="288">
        <f t="shared" si="255"/>
        <v>0</v>
      </c>
      <c r="K1229" s="276" t="s">
        <v>1087</v>
      </c>
      <c r="L1229" s="33">
        <v>1</v>
      </c>
      <c r="M1229" s="157" t="s">
        <v>3796</v>
      </c>
      <c r="N1229" s="157"/>
      <c r="O1229" s="157" t="s">
        <v>650</v>
      </c>
      <c r="P1229" s="163" t="s">
        <v>3798</v>
      </c>
    </row>
    <row r="1230" s="92" customFormat="1" ht="20.1" customHeight="1" spans="1:16">
      <c r="A1230" s="157" t="s">
        <v>3799</v>
      </c>
      <c r="B1230" s="36" t="s">
        <v>3800</v>
      </c>
      <c r="C1230" s="267">
        <v>0</v>
      </c>
      <c r="D1230" s="268">
        <f t="shared" si="252"/>
        <v>0</v>
      </c>
      <c r="E1230" s="267"/>
      <c r="F1230" s="267"/>
      <c r="G1230" s="267"/>
      <c r="H1230" s="267"/>
      <c r="I1230" s="287"/>
      <c r="J1230" s="288">
        <f t="shared" si="255"/>
        <v>0</v>
      </c>
      <c r="K1230" s="276" t="s">
        <v>1087</v>
      </c>
      <c r="L1230" s="33">
        <v>1</v>
      </c>
      <c r="M1230" s="157" t="s">
        <v>3799</v>
      </c>
      <c r="N1230" s="157"/>
      <c r="O1230" s="157" t="s">
        <v>650</v>
      </c>
      <c r="P1230" s="163" t="s">
        <v>3801</v>
      </c>
    </row>
    <row r="1231" s="92" customFormat="1" ht="20.1" customHeight="1" spans="1:16">
      <c r="A1231" s="157" t="s">
        <v>3802</v>
      </c>
      <c r="B1231" s="36" t="s">
        <v>3803</v>
      </c>
      <c r="C1231" s="267">
        <v>0</v>
      </c>
      <c r="D1231" s="268">
        <f t="shared" si="252"/>
        <v>0</v>
      </c>
      <c r="E1231" s="267"/>
      <c r="F1231" s="267"/>
      <c r="G1231" s="267"/>
      <c r="H1231" s="267"/>
      <c r="I1231" s="287"/>
      <c r="J1231" s="288">
        <f t="shared" si="255"/>
        <v>0</v>
      </c>
      <c r="K1231" s="276" t="s">
        <v>1087</v>
      </c>
      <c r="L1231" s="33">
        <v>1</v>
      </c>
      <c r="M1231" s="157" t="s">
        <v>3802</v>
      </c>
      <c r="N1231" s="157"/>
      <c r="O1231" s="157" t="s">
        <v>650</v>
      </c>
      <c r="P1231" s="163" t="s">
        <v>3804</v>
      </c>
    </row>
    <row r="1232" s="92" customFormat="1" ht="20.1" customHeight="1" spans="1:16">
      <c r="A1232" s="157" t="s">
        <v>3805</v>
      </c>
      <c r="B1232" s="36" t="s">
        <v>3806</v>
      </c>
      <c r="C1232" s="267"/>
      <c r="D1232" s="268">
        <f t="shared" si="252"/>
        <v>0</v>
      </c>
      <c r="E1232" s="267"/>
      <c r="F1232" s="267"/>
      <c r="G1232" s="267"/>
      <c r="H1232" s="267"/>
      <c r="I1232" s="287"/>
      <c r="J1232" s="288">
        <f t="shared" si="255"/>
        <v>0</v>
      </c>
      <c r="K1232" s="276" t="s">
        <v>1087</v>
      </c>
      <c r="L1232" s="33">
        <v>1</v>
      </c>
      <c r="M1232" s="157" t="s">
        <v>3805</v>
      </c>
      <c r="N1232" s="157"/>
      <c r="O1232" s="157" t="s">
        <v>650</v>
      </c>
      <c r="P1232" s="163" t="s">
        <v>3807</v>
      </c>
    </row>
    <row r="1233" s="92" customFormat="1" ht="20.1" customHeight="1" spans="1:16">
      <c r="A1233" s="157" t="s">
        <v>3808</v>
      </c>
      <c r="B1233" s="36" t="s">
        <v>3809</v>
      </c>
      <c r="C1233" s="267">
        <v>0</v>
      </c>
      <c r="D1233" s="268">
        <f t="shared" si="252"/>
        <v>0</v>
      </c>
      <c r="E1233" s="267"/>
      <c r="F1233" s="267"/>
      <c r="G1233" s="267"/>
      <c r="H1233" s="267"/>
      <c r="I1233" s="287"/>
      <c r="J1233" s="288">
        <f t="shared" si="255"/>
        <v>0</v>
      </c>
      <c r="K1233" s="276" t="s">
        <v>1087</v>
      </c>
      <c r="L1233" s="33">
        <v>1</v>
      </c>
      <c r="M1233" s="157" t="s">
        <v>3808</v>
      </c>
      <c r="N1233" s="157"/>
      <c r="O1233" s="157" t="s">
        <v>650</v>
      </c>
      <c r="P1233" s="163" t="s">
        <v>3810</v>
      </c>
    </row>
    <row r="1234" s="92" customFormat="1" ht="20.1" customHeight="1" spans="1:16">
      <c r="A1234" s="157" t="s">
        <v>3811</v>
      </c>
      <c r="B1234" s="36" t="s">
        <v>3812</v>
      </c>
      <c r="C1234" s="267"/>
      <c r="D1234" s="268">
        <f t="shared" si="252"/>
        <v>0</v>
      </c>
      <c r="E1234" s="267"/>
      <c r="F1234" s="267"/>
      <c r="G1234" s="267"/>
      <c r="H1234" s="267"/>
      <c r="I1234" s="287"/>
      <c r="J1234" s="288"/>
      <c r="K1234" s="276" t="s">
        <v>1087</v>
      </c>
      <c r="L1234" s="33">
        <v>1</v>
      </c>
      <c r="M1234" s="157" t="s">
        <v>3811</v>
      </c>
      <c r="N1234" s="157"/>
      <c r="O1234" s="157" t="s">
        <v>650</v>
      </c>
      <c r="P1234" s="36" t="s">
        <v>3813</v>
      </c>
    </row>
    <row r="1235" s="92" customFormat="1" ht="20.1" customHeight="1" spans="1:16">
      <c r="A1235" s="157" t="s">
        <v>3814</v>
      </c>
      <c r="B1235" s="36" t="s">
        <v>3815</v>
      </c>
      <c r="C1235" s="267"/>
      <c r="D1235" s="268">
        <f t="shared" si="252"/>
        <v>0</v>
      </c>
      <c r="E1235" s="267"/>
      <c r="F1235" s="267"/>
      <c r="G1235" s="267"/>
      <c r="H1235" s="267"/>
      <c r="I1235" s="287"/>
      <c r="J1235" s="288"/>
      <c r="K1235" s="276" t="s">
        <v>1087</v>
      </c>
      <c r="L1235" s="33">
        <v>1</v>
      </c>
      <c r="M1235" s="157" t="s">
        <v>3814</v>
      </c>
      <c r="N1235" s="157"/>
      <c r="O1235" s="157" t="s">
        <v>650</v>
      </c>
      <c r="P1235" s="36" t="s">
        <v>3816</v>
      </c>
    </row>
    <row r="1236" s="92" customFormat="1" ht="20.1" customHeight="1" spans="1:16">
      <c r="A1236" s="157" t="s">
        <v>3817</v>
      </c>
      <c r="B1236" s="36" t="s">
        <v>3818</v>
      </c>
      <c r="C1236" s="267"/>
      <c r="D1236" s="268">
        <f t="shared" si="252"/>
        <v>0</v>
      </c>
      <c r="E1236" s="267"/>
      <c r="F1236" s="267"/>
      <c r="G1236" s="267"/>
      <c r="H1236" s="267"/>
      <c r="I1236" s="287"/>
      <c r="J1236" s="288"/>
      <c r="K1236" s="276" t="s">
        <v>1087</v>
      </c>
      <c r="L1236" s="33">
        <v>1</v>
      </c>
      <c r="M1236" s="157" t="s">
        <v>3817</v>
      </c>
      <c r="N1236" s="157"/>
      <c r="O1236" s="157" t="s">
        <v>650</v>
      </c>
      <c r="P1236" s="36" t="s">
        <v>3819</v>
      </c>
    </row>
    <row r="1237" s="92" customFormat="1" ht="20.1" customHeight="1" spans="1:16">
      <c r="A1237" s="157" t="s">
        <v>3820</v>
      </c>
      <c r="B1237" s="36" t="s">
        <v>1114</v>
      </c>
      <c r="C1237" s="267">
        <v>116</v>
      </c>
      <c r="D1237" s="268">
        <f t="shared" si="252"/>
        <v>97</v>
      </c>
      <c r="E1237" s="267"/>
      <c r="F1237" s="267"/>
      <c r="G1237" s="267"/>
      <c r="H1237" s="267"/>
      <c r="I1237" s="287">
        <v>97</v>
      </c>
      <c r="J1237" s="288">
        <f t="shared" ref="J1237:J1242" si="260">ROUND(IF(C1237=0,IF(D1237=0,0,1),IF(D1237=0,-1,D1237/C1237)),4)*100</f>
        <v>83.62</v>
      </c>
      <c r="K1237" s="276" t="s">
        <v>1087</v>
      </c>
      <c r="L1237" s="33">
        <v>1</v>
      </c>
      <c r="M1237" s="157" t="s">
        <v>3820</v>
      </c>
      <c r="N1237" s="157"/>
      <c r="O1237" s="157" t="s">
        <v>650</v>
      </c>
      <c r="P1237" s="36" t="s">
        <v>1115</v>
      </c>
    </row>
    <row r="1238" s="92" customFormat="1" ht="20.1" customHeight="1" spans="1:16">
      <c r="A1238" s="157" t="s">
        <v>3821</v>
      </c>
      <c r="B1238" s="36" t="s">
        <v>3822</v>
      </c>
      <c r="C1238" s="267">
        <v>0</v>
      </c>
      <c r="D1238" s="268">
        <f t="shared" si="252"/>
        <v>0</v>
      </c>
      <c r="E1238" s="267"/>
      <c r="F1238" s="267"/>
      <c r="G1238" s="267"/>
      <c r="H1238" s="267"/>
      <c r="I1238" s="287"/>
      <c r="J1238" s="288">
        <f t="shared" si="260"/>
        <v>0</v>
      </c>
      <c r="K1238" s="276" t="s">
        <v>1087</v>
      </c>
      <c r="L1238" s="33">
        <v>1</v>
      </c>
      <c r="M1238" s="157" t="s">
        <v>3821</v>
      </c>
      <c r="N1238" s="157"/>
      <c r="O1238" s="157" t="s">
        <v>650</v>
      </c>
      <c r="P1238" s="163" t="s">
        <v>3823</v>
      </c>
    </row>
    <row r="1239" s="93" customFormat="1" ht="20.1" customHeight="1" spans="1:16">
      <c r="A1239" s="263" t="s">
        <v>651</v>
      </c>
      <c r="B1239" s="297" t="s">
        <v>3824</v>
      </c>
      <c r="C1239" s="265">
        <f t="shared" ref="C1239:I1239" si="261">SUM(C1240:C1245)</f>
        <v>0</v>
      </c>
      <c r="D1239" s="265">
        <f t="shared" si="252"/>
        <v>0</v>
      </c>
      <c r="E1239" s="265">
        <f t="shared" si="261"/>
        <v>0</v>
      </c>
      <c r="F1239" s="265">
        <f t="shared" si="261"/>
        <v>0</v>
      </c>
      <c r="G1239" s="265">
        <f t="shared" si="261"/>
        <v>0</v>
      </c>
      <c r="H1239" s="265">
        <f t="shared" si="261"/>
        <v>0</v>
      </c>
      <c r="I1239" s="265">
        <f t="shared" si="261"/>
        <v>0</v>
      </c>
      <c r="J1239" s="298">
        <f t="shared" si="260"/>
        <v>0</v>
      </c>
      <c r="K1239" s="284" t="s">
        <v>1082</v>
      </c>
      <c r="L1239" s="285"/>
      <c r="M1239" s="263" t="s">
        <v>651</v>
      </c>
      <c r="N1239" s="263" t="s">
        <v>649</v>
      </c>
      <c r="O1239" s="263" t="s">
        <v>651</v>
      </c>
      <c r="P1239" s="286" t="s">
        <v>3825</v>
      </c>
    </row>
    <row r="1240" s="92" customFormat="1" ht="20.1" customHeight="1" spans="1:16">
      <c r="A1240" s="157" t="s">
        <v>3826</v>
      </c>
      <c r="B1240" s="36" t="s">
        <v>3827</v>
      </c>
      <c r="C1240" s="267">
        <v>0</v>
      </c>
      <c r="D1240" s="268">
        <f t="shared" si="252"/>
        <v>0</v>
      </c>
      <c r="E1240" s="267"/>
      <c r="F1240" s="267"/>
      <c r="G1240" s="267"/>
      <c r="H1240" s="267"/>
      <c r="I1240" s="287"/>
      <c r="J1240" s="288">
        <f t="shared" si="260"/>
        <v>0</v>
      </c>
      <c r="K1240" s="276" t="s">
        <v>1087</v>
      </c>
      <c r="L1240" s="33">
        <v>1</v>
      </c>
      <c r="M1240" s="157" t="s">
        <v>3826</v>
      </c>
      <c r="N1240" s="157"/>
      <c r="O1240" s="157" t="s">
        <v>651</v>
      </c>
      <c r="P1240" s="164" t="s">
        <v>3828</v>
      </c>
    </row>
    <row r="1241" s="92" customFormat="1" ht="20.1" customHeight="1" spans="1:16">
      <c r="A1241" s="157" t="s">
        <v>3829</v>
      </c>
      <c r="B1241" s="36" t="s">
        <v>3830</v>
      </c>
      <c r="C1241" s="267">
        <v>0</v>
      </c>
      <c r="D1241" s="268">
        <f t="shared" si="252"/>
        <v>0</v>
      </c>
      <c r="E1241" s="267"/>
      <c r="F1241" s="267"/>
      <c r="G1241" s="267"/>
      <c r="H1241" s="267"/>
      <c r="I1241" s="287"/>
      <c r="J1241" s="288">
        <f t="shared" si="260"/>
        <v>0</v>
      </c>
      <c r="K1241" s="276" t="s">
        <v>1087</v>
      </c>
      <c r="L1241" s="33">
        <v>1</v>
      </c>
      <c r="M1241" s="157" t="s">
        <v>3829</v>
      </c>
      <c r="N1241" s="157"/>
      <c r="O1241" s="157" t="s">
        <v>651</v>
      </c>
      <c r="P1241" s="163" t="s">
        <v>3831</v>
      </c>
    </row>
    <row r="1242" s="92" customFormat="1" ht="20.1" customHeight="1" spans="1:16">
      <c r="A1242" s="157" t="s">
        <v>3832</v>
      </c>
      <c r="B1242" s="36" t="s">
        <v>3833</v>
      </c>
      <c r="C1242" s="267">
        <v>0</v>
      </c>
      <c r="D1242" s="268">
        <f t="shared" si="252"/>
        <v>0</v>
      </c>
      <c r="E1242" s="267"/>
      <c r="F1242" s="267"/>
      <c r="G1242" s="267"/>
      <c r="H1242" s="267"/>
      <c r="I1242" s="287"/>
      <c r="J1242" s="288">
        <f t="shared" si="260"/>
        <v>0</v>
      </c>
      <c r="K1242" s="276" t="s">
        <v>1087</v>
      </c>
      <c r="L1242" s="33">
        <v>1</v>
      </c>
      <c r="M1242" s="157" t="s">
        <v>3832</v>
      </c>
      <c r="N1242" s="157"/>
      <c r="O1242" s="157" t="s">
        <v>651</v>
      </c>
      <c r="P1242" s="163" t="s">
        <v>3834</v>
      </c>
    </row>
    <row r="1243" s="92" customFormat="1" ht="20.1" customHeight="1" spans="1:16">
      <c r="A1243" s="157" t="s">
        <v>3835</v>
      </c>
      <c r="B1243" s="36" t="s">
        <v>3836</v>
      </c>
      <c r="C1243" s="267"/>
      <c r="D1243" s="268">
        <f t="shared" si="252"/>
        <v>0</v>
      </c>
      <c r="E1243" s="267"/>
      <c r="F1243" s="267"/>
      <c r="G1243" s="267"/>
      <c r="H1243" s="267"/>
      <c r="I1243" s="287"/>
      <c r="J1243" s="288"/>
      <c r="K1243" s="276" t="s">
        <v>1087</v>
      </c>
      <c r="L1243" s="33">
        <v>1</v>
      </c>
      <c r="M1243" s="157" t="s">
        <v>3835</v>
      </c>
      <c r="N1243" s="157"/>
      <c r="O1243" s="157" t="s">
        <v>651</v>
      </c>
      <c r="P1243" s="36" t="s">
        <v>3837</v>
      </c>
    </row>
    <row r="1244" s="92" customFormat="1" ht="20.1" customHeight="1" spans="1:16">
      <c r="A1244" s="157" t="s">
        <v>3838</v>
      </c>
      <c r="B1244" s="36" t="s">
        <v>3839</v>
      </c>
      <c r="C1244" s="267"/>
      <c r="D1244" s="268">
        <f t="shared" si="252"/>
        <v>0</v>
      </c>
      <c r="E1244" s="267"/>
      <c r="F1244" s="267"/>
      <c r="G1244" s="267"/>
      <c r="H1244" s="267"/>
      <c r="I1244" s="287"/>
      <c r="J1244" s="288"/>
      <c r="K1244" s="276" t="s">
        <v>1087</v>
      </c>
      <c r="L1244" s="33">
        <v>1</v>
      </c>
      <c r="M1244" s="157" t="s">
        <v>3838</v>
      </c>
      <c r="N1244" s="157"/>
      <c r="O1244" s="157" t="s">
        <v>651</v>
      </c>
      <c r="P1244" s="36" t="s">
        <v>3840</v>
      </c>
    </row>
    <row r="1245" s="92" customFormat="1" ht="20.1" customHeight="1" spans="1:16">
      <c r="A1245" s="157" t="s">
        <v>3841</v>
      </c>
      <c r="B1245" s="36" t="s">
        <v>3842</v>
      </c>
      <c r="C1245" s="267">
        <v>0</v>
      </c>
      <c r="D1245" s="268">
        <f t="shared" si="252"/>
        <v>0</v>
      </c>
      <c r="E1245" s="267"/>
      <c r="F1245" s="267"/>
      <c r="G1245" s="267"/>
      <c r="H1245" s="267"/>
      <c r="I1245" s="287"/>
      <c r="J1245" s="288">
        <f t="shared" ref="J1245:J1262" si="262">ROUND(IF(C1245=0,IF(D1245=0,0,1),IF(D1245=0,-1,D1245/C1245)),4)*100</f>
        <v>0</v>
      </c>
      <c r="K1245" s="276" t="s">
        <v>1087</v>
      </c>
      <c r="L1245" s="33">
        <v>1</v>
      </c>
      <c r="M1245" s="157" t="s">
        <v>3841</v>
      </c>
      <c r="N1245" s="157"/>
      <c r="O1245" s="157" t="s">
        <v>651</v>
      </c>
      <c r="P1245" s="164" t="s">
        <v>3843</v>
      </c>
    </row>
    <row r="1246" s="93" customFormat="1" ht="20.1" customHeight="1" spans="1:16">
      <c r="A1246" s="263" t="s">
        <v>652</v>
      </c>
      <c r="B1246" s="297" t="s">
        <v>3844</v>
      </c>
      <c r="C1246" s="265">
        <f t="shared" ref="C1246:I1246" si="263">SUM(C1247:C1251)</f>
        <v>30</v>
      </c>
      <c r="D1246" s="265">
        <f t="shared" si="252"/>
        <v>0</v>
      </c>
      <c r="E1246" s="265">
        <f t="shared" si="263"/>
        <v>0</v>
      </c>
      <c r="F1246" s="265">
        <f t="shared" si="263"/>
        <v>0</v>
      </c>
      <c r="G1246" s="265">
        <f t="shared" si="263"/>
        <v>0</v>
      </c>
      <c r="H1246" s="265">
        <f t="shared" si="263"/>
        <v>0</v>
      </c>
      <c r="I1246" s="265">
        <f t="shared" si="263"/>
        <v>0</v>
      </c>
      <c r="J1246" s="298">
        <f t="shared" si="262"/>
        <v>-100</v>
      </c>
      <c r="K1246" s="284" t="s">
        <v>1082</v>
      </c>
      <c r="L1246" s="285"/>
      <c r="M1246" s="263" t="s">
        <v>652</v>
      </c>
      <c r="N1246" s="263" t="s">
        <v>649</v>
      </c>
      <c r="O1246" s="263" t="s">
        <v>652</v>
      </c>
      <c r="P1246" s="286" t="s">
        <v>3845</v>
      </c>
    </row>
    <row r="1247" s="92" customFormat="1" ht="20.1" customHeight="1" spans="1:16">
      <c r="A1247" s="157" t="s">
        <v>3846</v>
      </c>
      <c r="B1247" s="36" t="s">
        <v>3847</v>
      </c>
      <c r="C1247" s="267">
        <v>0</v>
      </c>
      <c r="D1247" s="268">
        <f t="shared" si="252"/>
        <v>0</v>
      </c>
      <c r="E1247" s="267"/>
      <c r="F1247" s="267"/>
      <c r="G1247" s="267"/>
      <c r="H1247" s="267"/>
      <c r="I1247" s="287"/>
      <c r="J1247" s="288">
        <f t="shared" si="262"/>
        <v>0</v>
      </c>
      <c r="K1247" s="276" t="s">
        <v>1087</v>
      </c>
      <c r="L1247" s="33">
        <v>1</v>
      </c>
      <c r="M1247" s="157" t="s">
        <v>3846</v>
      </c>
      <c r="N1247" s="157"/>
      <c r="O1247" s="157" t="s">
        <v>652</v>
      </c>
      <c r="P1247" s="163" t="s">
        <v>3848</v>
      </c>
    </row>
    <row r="1248" s="92" customFormat="1" ht="20.1" customHeight="1" spans="1:16">
      <c r="A1248" s="157" t="s">
        <v>3849</v>
      </c>
      <c r="B1248" s="36" t="s">
        <v>3850</v>
      </c>
      <c r="C1248" s="267">
        <v>0</v>
      </c>
      <c r="D1248" s="268">
        <f t="shared" si="252"/>
        <v>0</v>
      </c>
      <c r="E1248" s="267"/>
      <c r="F1248" s="267"/>
      <c r="G1248" s="267"/>
      <c r="H1248" s="267"/>
      <c r="I1248" s="287"/>
      <c r="J1248" s="288">
        <f t="shared" si="262"/>
        <v>0</v>
      </c>
      <c r="K1248" s="276" t="s">
        <v>1087</v>
      </c>
      <c r="L1248" s="33">
        <v>1</v>
      </c>
      <c r="M1248" s="157" t="s">
        <v>3849</v>
      </c>
      <c r="N1248" s="157"/>
      <c r="O1248" s="157" t="s">
        <v>652</v>
      </c>
      <c r="P1248" s="163" t="s">
        <v>3851</v>
      </c>
    </row>
    <row r="1249" s="92" customFormat="1" ht="20.1" customHeight="1" spans="1:16">
      <c r="A1249" s="157" t="s">
        <v>3852</v>
      </c>
      <c r="B1249" s="36" t="s">
        <v>3853</v>
      </c>
      <c r="C1249" s="267">
        <v>30</v>
      </c>
      <c r="D1249" s="268">
        <f t="shared" si="252"/>
        <v>0</v>
      </c>
      <c r="E1249" s="267"/>
      <c r="F1249" s="267"/>
      <c r="G1249" s="267"/>
      <c r="H1249" s="267"/>
      <c r="I1249" s="287"/>
      <c r="J1249" s="288">
        <f t="shared" si="262"/>
        <v>-100</v>
      </c>
      <c r="K1249" s="276" t="s">
        <v>1087</v>
      </c>
      <c r="L1249" s="33">
        <v>1</v>
      </c>
      <c r="M1249" s="157" t="s">
        <v>3852</v>
      </c>
      <c r="N1249" s="157"/>
      <c r="O1249" s="157" t="s">
        <v>652</v>
      </c>
      <c r="P1249" s="163" t="s">
        <v>3854</v>
      </c>
    </row>
    <row r="1250" s="92" customFormat="1" ht="20.1" customHeight="1" spans="1:16">
      <c r="A1250" s="157" t="s">
        <v>3855</v>
      </c>
      <c r="B1250" s="36" t="s">
        <v>3856</v>
      </c>
      <c r="C1250" s="267">
        <v>0</v>
      </c>
      <c r="D1250" s="268">
        <f t="shared" si="252"/>
        <v>0</v>
      </c>
      <c r="E1250" s="267"/>
      <c r="F1250" s="267"/>
      <c r="G1250" s="267"/>
      <c r="H1250" s="267"/>
      <c r="I1250" s="287"/>
      <c r="J1250" s="288">
        <f t="shared" si="262"/>
        <v>0</v>
      </c>
      <c r="K1250" s="276" t="s">
        <v>1087</v>
      </c>
      <c r="L1250" s="33">
        <v>1</v>
      </c>
      <c r="M1250" s="157" t="s">
        <v>3855</v>
      </c>
      <c r="N1250" s="157"/>
      <c r="O1250" s="157" t="s">
        <v>652</v>
      </c>
      <c r="P1250" s="163" t="s">
        <v>3857</v>
      </c>
    </row>
    <row r="1251" s="92" customFormat="1" ht="20.1" customHeight="1" spans="1:16">
      <c r="A1251" s="157" t="s">
        <v>3858</v>
      </c>
      <c r="B1251" s="36" t="s">
        <v>3859</v>
      </c>
      <c r="C1251" s="267">
        <v>0</v>
      </c>
      <c r="D1251" s="268">
        <f t="shared" si="252"/>
        <v>0</v>
      </c>
      <c r="E1251" s="267"/>
      <c r="F1251" s="267"/>
      <c r="G1251" s="267"/>
      <c r="H1251" s="267"/>
      <c r="I1251" s="287"/>
      <c r="J1251" s="288">
        <f t="shared" si="262"/>
        <v>0</v>
      </c>
      <c r="K1251" s="276" t="s">
        <v>1087</v>
      </c>
      <c r="L1251" s="33">
        <v>1</v>
      </c>
      <c r="M1251" s="157" t="s">
        <v>3858</v>
      </c>
      <c r="N1251" s="157"/>
      <c r="O1251" s="157" t="s">
        <v>652</v>
      </c>
      <c r="P1251" s="163" t="s">
        <v>3860</v>
      </c>
    </row>
    <row r="1252" s="93" customFormat="1" ht="20.1" customHeight="1" spans="1:16">
      <c r="A1252" s="263" t="s">
        <v>653</v>
      </c>
      <c r="B1252" s="297" t="s">
        <v>3861</v>
      </c>
      <c r="C1252" s="265">
        <f t="shared" ref="C1252:I1252" si="264">SUM(C1253:C1264)</f>
        <v>0</v>
      </c>
      <c r="D1252" s="265">
        <f t="shared" si="252"/>
        <v>0</v>
      </c>
      <c r="E1252" s="265">
        <f t="shared" si="264"/>
        <v>0</v>
      </c>
      <c r="F1252" s="265">
        <f t="shared" si="264"/>
        <v>0</v>
      </c>
      <c r="G1252" s="265">
        <f t="shared" si="264"/>
        <v>0</v>
      </c>
      <c r="H1252" s="265">
        <f t="shared" si="264"/>
        <v>0</v>
      </c>
      <c r="I1252" s="265">
        <f t="shared" si="264"/>
        <v>0</v>
      </c>
      <c r="J1252" s="298">
        <f t="shared" si="262"/>
        <v>0</v>
      </c>
      <c r="K1252" s="284" t="s">
        <v>1082</v>
      </c>
      <c r="L1252" s="285"/>
      <c r="M1252" s="263" t="s">
        <v>653</v>
      </c>
      <c r="N1252" s="263" t="s">
        <v>649</v>
      </c>
      <c r="O1252" s="263" t="s">
        <v>653</v>
      </c>
      <c r="P1252" s="286" t="s">
        <v>3862</v>
      </c>
    </row>
    <row r="1253" s="92" customFormat="1" ht="20.1" customHeight="1" spans="1:16">
      <c r="A1253" s="157" t="s">
        <v>3863</v>
      </c>
      <c r="B1253" s="36" t="s">
        <v>3864</v>
      </c>
      <c r="C1253" s="267">
        <v>0</v>
      </c>
      <c r="D1253" s="268">
        <f t="shared" si="252"/>
        <v>0</v>
      </c>
      <c r="E1253" s="267"/>
      <c r="F1253" s="267"/>
      <c r="G1253" s="267"/>
      <c r="H1253" s="267"/>
      <c r="I1253" s="287"/>
      <c r="J1253" s="288">
        <f t="shared" si="262"/>
        <v>0</v>
      </c>
      <c r="K1253" s="276" t="s">
        <v>1087</v>
      </c>
      <c r="L1253" s="33">
        <v>1</v>
      </c>
      <c r="M1253" s="157" t="s">
        <v>3863</v>
      </c>
      <c r="N1253" s="157"/>
      <c r="O1253" s="157" t="s">
        <v>653</v>
      </c>
      <c r="P1253" s="163" t="s">
        <v>3865</v>
      </c>
    </row>
    <row r="1254" s="92" customFormat="1" ht="20.1" customHeight="1" spans="1:16">
      <c r="A1254" s="157" t="s">
        <v>3866</v>
      </c>
      <c r="B1254" s="36" t="s">
        <v>3867</v>
      </c>
      <c r="C1254" s="267">
        <v>0</v>
      </c>
      <c r="D1254" s="268">
        <f t="shared" si="252"/>
        <v>0</v>
      </c>
      <c r="E1254" s="267"/>
      <c r="F1254" s="267"/>
      <c r="G1254" s="267"/>
      <c r="H1254" s="267"/>
      <c r="I1254" s="287"/>
      <c r="J1254" s="288">
        <f t="shared" si="262"/>
        <v>0</v>
      </c>
      <c r="K1254" s="276" t="s">
        <v>1087</v>
      </c>
      <c r="L1254" s="33">
        <v>1</v>
      </c>
      <c r="M1254" s="157" t="s">
        <v>3866</v>
      </c>
      <c r="N1254" s="157"/>
      <c r="O1254" s="157" t="s">
        <v>653</v>
      </c>
      <c r="P1254" s="163" t="s">
        <v>3868</v>
      </c>
    </row>
    <row r="1255" s="92" customFormat="1" ht="20.1" customHeight="1" spans="1:16">
      <c r="A1255" s="157" t="s">
        <v>3869</v>
      </c>
      <c r="B1255" s="36" t="s">
        <v>3870</v>
      </c>
      <c r="C1255" s="267">
        <v>0</v>
      </c>
      <c r="D1255" s="268">
        <f t="shared" si="252"/>
        <v>0</v>
      </c>
      <c r="E1255" s="267"/>
      <c r="F1255" s="267"/>
      <c r="G1255" s="267"/>
      <c r="H1255" s="267"/>
      <c r="I1255" s="287"/>
      <c r="J1255" s="288">
        <f t="shared" si="262"/>
        <v>0</v>
      </c>
      <c r="K1255" s="276" t="s">
        <v>1087</v>
      </c>
      <c r="L1255" s="33">
        <v>1</v>
      </c>
      <c r="M1255" s="157" t="s">
        <v>3869</v>
      </c>
      <c r="N1255" s="157"/>
      <c r="O1255" s="157" t="s">
        <v>653</v>
      </c>
      <c r="P1255" s="163" t="s">
        <v>3871</v>
      </c>
    </row>
    <row r="1256" s="92" customFormat="1" ht="20.1" customHeight="1" spans="1:16">
      <c r="A1256" s="157" t="s">
        <v>3872</v>
      </c>
      <c r="B1256" s="36" t="s">
        <v>3873</v>
      </c>
      <c r="C1256" s="267">
        <v>0</v>
      </c>
      <c r="D1256" s="268">
        <f t="shared" si="252"/>
        <v>0</v>
      </c>
      <c r="E1256" s="267"/>
      <c r="F1256" s="267"/>
      <c r="G1256" s="267"/>
      <c r="H1256" s="267"/>
      <c r="I1256" s="287"/>
      <c r="J1256" s="288">
        <f t="shared" si="262"/>
        <v>0</v>
      </c>
      <c r="K1256" s="276" t="s">
        <v>1087</v>
      </c>
      <c r="L1256" s="33">
        <v>1</v>
      </c>
      <c r="M1256" s="157" t="s">
        <v>3872</v>
      </c>
      <c r="N1256" s="157"/>
      <c r="O1256" s="157" t="s">
        <v>653</v>
      </c>
      <c r="P1256" s="163" t="s">
        <v>3874</v>
      </c>
    </row>
    <row r="1257" s="92" customFormat="1" ht="20.1" customHeight="1" spans="1:16">
      <c r="A1257" s="157" t="s">
        <v>3875</v>
      </c>
      <c r="B1257" s="36" t="s">
        <v>3876</v>
      </c>
      <c r="C1257" s="267">
        <v>0</v>
      </c>
      <c r="D1257" s="268">
        <f t="shared" si="252"/>
        <v>0</v>
      </c>
      <c r="E1257" s="267"/>
      <c r="F1257" s="267"/>
      <c r="G1257" s="267"/>
      <c r="H1257" s="267"/>
      <c r="I1257" s="287"/>
      <c r="J1257" s="288">
        <f t="shared" si="262"/>
        <v>0</v>
      </c>
      <c r="K1257" s="276" t="s">
        <v>1087</v>
      </c>
      <c r="L1257" s="33">
        <v>1</v>
      </c>
      <c r="M1257" s="157" t="s">
        <v>3875</v>
      </c>
      <c r="N1257" s="157"/>
      <c r="O1257" s="157" t="s">
        <v>653</v>
      </c>
      <c r="P1257" s="163" t="s">
        <v>3877</v>
      </c>
    </row>
    <row r="1258" s="92" customFormat="1" ht="20.1" customHeight="1" spans="1:16">
      <c r="A1258" s="157" t="s">
        <v>3878</v>
      </c>
      <c r="B1258" s="36" t="s">
        <v>3879</v>
      </c>
      <c r="C1258" s="267">
        <v>0</v>
      </c>
      <c r="D1258" s="268">
        <f t="shared" si="252"/>
        <v>0</v>
      </c>
      <c r="E1258" s="267"/>
      <c r="F1258" s="267"/>
      <c r="G1258" s="267"/>
      <c r="H1258" s="267"/>
      <c r="I1258" s="287"/>
      <c r="J1258" s="288">
        <f t="shared" si="262"/>
        <v>0</v>
      </c>
      <c r="K1258" s="276" t="s">
        <v>1087</v>
      </c>
      <c r="L1258" s="33">
        <v>1</v>
      </c>
      <c r="M1258" s="157" t="s">
        <v>3878</v>
      </c>
      <c r="N1258" s="157"/>
      <c r="O1258" s="157" t="s">
        <v>653</v>
      </c>
      <c r="P1258" s="163" t="s">
        <v>3880</v>
      </c>
    </row>
    <row r="1259" s="92" customFormat="1" ht="20.1" customHeight="1" spans="1:16">
      <c r="A1259" s="157" t="s">
        <v>3881</v>
      </c>
      <c r="B1259" s="36" t="s">
        <v>3882</v>
      </c>
      <c r="C1259" s="267">
        <v>0</v>
      </c>
      <c r="D1259" s="268">
        <f t="shared" si="252"/>
        <v>0</v>
      </c>
      <c r="E1259" s="267"/>
      <c r="F1259" s="267"/>
      <c r="G1259" s="267"/>
      <c r="H1259" s="267"/>
      <c r="I1259" s="287"/>
      <c r="J1259" s="288">
        <f t="shared" si="262"/>
        <v>0</v>
      </c>
      <c r="K1259" s="276" t="s">
        <v>1087</v>
      </c>
      <c r="L1259" s="33">
        <v>1</v>
      </c>
      <c r="M1259" s="157" t="s">
        <v>3881</v>
      </c>
      <c r="N1259" s="157"/>
      <c r="O1259" s="157" t="s">
        <v>653</v>
      </c>
      <c r="P1259" s="163" t="s">
        <v>3883</v>
      </c>
    </row>
    <row r="1260" s="92" customFormat="1" ht="20.1" customHeight="1" spans="1:16">
      <c r="A1260" s="157" t="s">
        <v>3884</v>
      </c>
      <c r="B1260" s="36" t="s">
        <v>3885</v>
      </c>
      <c r="C1260" s="267">
        <v>0</v>
      </c>
      <c r="D1260" s="268">
        <f t="shared" si="252"/>
        <v>0</v>
      </c>
      <c r="E1260" s="267"/>
      <c r="F1260" s="267"/>
      <c r="G1260" s="267"/>
      <c r="H1260" s="267"/>
      <c r="I1260" s="287"/>
      <c r="J1260" s="288">
        <f t="shared" si="262"/>
        <v>0</v>
      </c>
      <c r="K1260" s="276" t="s">
        <v>1087</v>
      </c>
      <c r="L1260" s="33">
        <v>1</v>
      </c>
      <c r="M1260" s="157" t="s">
        <v>3884</v>
      </c>
      <c r="N1260" s="157"/>
      <c r="O1260" s="157" t="s">
        <v>653</v>
      </c>
      <c r="P1260" s="163" t="s">
        <v>3886</v>
      </c>
    </row>
    <row r="1261" s="92" customFormat="1" ht="20.1" customHeight="1" spans="1:16">
      <c r="A1261" s="157" t="s">
        <v>3887</v>
      </c>
      <c r="B1261" s="36" t="s">
        <v>3888</v>
      </c>
      <c r="C1261" s="267">
        <v>0</v>
      </c>
      <c r="D1261" s="268">
        <f t="shared" si="252"/>
        <v>0</v>
      </c>
      <c r="E1261" s="267"/>
      <c r="F1261" s="267"/>
      <c r="G1261" s="267"/>
      <c r="H1261" s="267"/>
      <c r="I1261" s="287"/>
      <c r="J1261" s="288">
        <f t="shared" si="262"/>
        <v>0</v>
      </c>
      <c r="K1261" s="276" t="s">
        <v>1087</v>
      </c>
      <c r="L1261" s="33">
        <v>1</v>
      </c>
      <c r="M1261" s="157" t="s">
        <v>3887</v>
      </c>
      <c r="N1261" s="157"/>
      <c r="O1261" s="157" t="s">
        <v>653</v>
      </c>
      <c r="P1261" s="163" t="s">
        <v>3889</v>
      </c>
    </row>
    <row r="1262" s="92" customFormat="1" ht="20.1" customHeight="1" spans="1:16">
      <c r="A1262" s="157" t="s">
        <v>3890</v>
      </c>
      <c r="B1262" s="36" t="s">
        <v>3891</v>
      </c>
      <c r="C1262" s="267">
        <v>0</v>
      </c>
      <c r="D1262" s="268">
        <f t="shared" si="252"/>
        <v>0</v>
      </c>
      <c r="E1262" s="267"/>
      <c r="F1262" s="267"/>
      <c r="G1262" s="267"/>
      <c r="H1262" s="267"/>
      <c r="I1262" s="287"/>
      <c r="J1262" s="288">
        <f t="shared" si="262"/>
        <v>0</v>
      </c>
      <c r="K1262" s="276" t="s">
        <v>1087</v>
      </c>
      <c r="L1262" s="33">
        <v>1</v>
      </c>
      <c r="M1262" s="157" t="s">
        <v>3890</v>
      </c>
      <c r="N1262" s="157"/>
      <c r="O1262" s="157" t="s">
        <v>653</v>
      </c>
      <c r="P1262" s="163" t="s">
        <v>3892</v>
      </c>
    </row>
    <row r="1263" s="92" customFormat="1" ht="20.1" customHeight="1" spans="1:16">
      <c r="A1263" s="157" t="s">
        <v>3708</v>
      </c>
      <c r="B1263" s="36" t="s">
        <v>3893</v>
      </c>
      <c r="C1263" s="267"/>
      <c r="D1263" s="268"/>
      <c r="E1263" s="267"/>
      <c r="F1263" s="267"/>
      <c r="G1263" s="267"/>
      <c r="H1263" s="267"/>
      <c r="I1263" s="287"/>
      <c r="J1263" s="288"/>
      <c r="K1263" s="276" t="s">
        <v>1087</v>
      </c>
      <c r="L1263" s="33">
        <v>1</v>
      </c>
      <c r="M1263" s="157" t="s">
        <v>3894</v>
      </c>
      <c r="N1263" s="157"/>
      <c r="O1263" s="157" t="s">
        <v>653</v>
      </c>
      <c r="P1263" s="163" t="s">
        <v>3895</v>
      </c>
    </row>
    <row r="1264" s="92" customFormat="1" ht="20.1" customHeight="1" spans="1:16">
      <c r="A1264" s="157" t="s">
        <v>3896</v>
      </c>
      <c r="B1264" s="36" t="s">
        <v>3897</v>
      </c>
      <c r="C1264" s="267">
        <v>0</v>
      </c>
      <c r="D1264" s="268">
        <f t="shared" ref="D1264:D1317" si="265">SUM(E1264:I1264)</f>
        <v>0</v>
      </c>
      <c r="E1264" s="267"/>
      <c r="F1264" s="267"/>
      <c r="G1264" s="267"/>
      <c r="H1264" s="267"/>
      <c r="I1264" s="287"/>
      <c r="J1264" s="288">
        <f t="shared" ref="J1264:J1281" si="266">ROUND(IF(C1264=0,IF(D1264=0,0,1),IF(D1264=0,-1,D1264/C1264)),4)*100</f>
        <v>0</v>
      </c>
      <c r="K1264" s="276" t="s">
        <v>1087</v>
      </c>
      <c r="L1264" s="33">
        <v>1</v>
      </c>
      <c r="M1264" s="157" t="s">
        <v>3896</v>
      </c>
      <c r="N1264" s="157"/>
      <c r="O1264" s="157" t="s">
        <v>653</v>
      </c>
      <c r="P1264" s="163" t="s">
        <v>3898</v>
      </c>
    </row>
    <row r="1265" s="93" customFormat="1" ht="20.1" customHeight="1" spans="1:16">
      <c r="A1265" s="154" t="s">
        <v>654</v>
      </c>
      <c r="B1265" s="261" t="s">
        <v>410</v>
      </c>
      <c r="C1265" s="262">
        <f t="shared" ref="C1265:I1265" si="267">C1266+C1277+C1284+C1292+C1305+C1309+C1313</f>
        <v>2461</v>
      </c>
      <c r="D1265" s="262">
        <f t="shared" si="265"/>
        <v>3285</v>
      </c>
      <c r="E1265" s="262">
        <f t="shared" si="267"/>
        <v>0</v>
      </c>
      <c r="F1265" s="262">
        <f t="shared" si="267"/>
        <v>60</v>
      </c>
      <c r="G1265" s="262">
        <f t="shared" si="267"/>
        <v>1850</v>
      </c>
      <c r="H1265" s="262">
        <f t="shared" si="267"/>
        <v>0</v>
      </c>
      <c r="I1265" s="262">
        <f t="shared" si="267"/>
        <v>1375</v>
      </c>
      <c r="J1265" s="279">
        <f t="shared" si="266"/>
        <v>133.48</v>
      </c>
      <c r="K1265" s="280" t="s">
        <v>1081</v>
      </c>
      <c r="L1265" s="281"/>
      <c r="M1265" s="154" t="s">
        <v>654</v>
      </c>
      <c r="N1265" s="154" t="s">
        <v>654</v>
      </c>
      <c r="O1265" s="154" t="s">
        <v>654</v>
      </c>
      <c r="P1265" s="282" t="s">
        <v>3899</v>
      </c>
    </row>
    <row r="1266" s="93" customFormat="1" ht="20.1" customHeight="1" spans="1:16">
      <c r="A1266" s="263" t="s">
        <v>655</v>
      </c>
      <c r="B1266" s="297" t="s">
        <v>3900</v>
      </c>
      <c r="C1266" s="265">
        <f t="shared" ref="C1266:I1266" si="268">SUM(C1267:C1276)</f>
        <v>410</v>
      </c>
      <c r="D1266" s="265">
        <f t="shared" si="265"/>
        <v>467</v>
      </c>
      <c r="E1266" s="265">
        <f t="shared" si="268"/>
        <v>0</v>
      </c>
      <c r="F1266" s="265">
        <f t="shared" si="268"/>
        <v>0</v>
      </c>
      <c r="G1266" s="265">
        <f t="shared" si="268"/>
        <v>0</v>
      </c>
      <c r="H1266" s="265">
        <f t="shared" si="268"/>
        <v>0</v>
      </c>
      <c r="I1266" s="265">
        <f t="shared" si="268"/>
        <v>467</v>
      </c>
      <c r="J1266" s="298">
        <f t="shared" si="266"/>
        <v>113.9</v>
      </c>
      <c r="K1266" s="284" t="s">
        <v>1082</v>
      </c>
      <c r="L1266" s="285"/>
      <c r="M1266" s="263" t="s">
        <v>655</v>
      </c>
      <c r="N1266" s="263" t="s">
        <v>654</v>
      </c>
      <c r="O1266" s="263" t="s">
        <v>655</v>
      </c>
      <c r="P1266" s="286" t="s">
        <v>3901</v>
      </c>
    </row>
    <row r="1267" s="92" customFormat="1" ht="20.1" customHeight="1" spans="1:16">
      <c r="A1267" s="181" t="s">
        <v>3902</v>
      </c>
      <c r="B1267" s="36" t="s">
        <v>1086</v>
      </c>
      <c r="C1267" s="320">
        <v>398</v>
      </c>
      <c r="D1267" s="268">
        <f t="shared" si="265"/>
        <v>326</v>
      </c>
      <c r="E1267" s="267"/>
      <c r="F1267" s="267"/>
      <c r="G1267" s="267"/>
      <c r="H1267" s="267"/>
      <c r="I1267" s="287">
        <v>326</v>
      </c>
      <c r="J1267" s="288">
        <f t="shared" si="266"/>
        <v>81.91</v>
      </c>
      <c r="K1267" s="276" t="s">
        <v>1087</v>
      </c>
      <c r="L1267" s="33">
        <v>1</v>
      </c>
      <c r="M1267" s="181" t="s">
        <v>3902</v>
      </c>
      <c r="N1267" s="157"/>
      <c r="O1267" s="181" t="s">
        <v>655</v>
      </c>
      <c r="P1267" s="164" t="s">
        <v>1088</v>
      </c>
    </row>
    <row r="1268" s="92" customFormat="1" ht="20.1" customHeight="1" spans="1:16">
      <c r="A1268" s="181" t="s">
        <v>3903</v>
      </c>
      <c r="B1268" s="36" t="s">
        <v>1090</v>
      </c>
      <c r="C1268" s="320">
        <v>7</v>
      </c>
      <c r="D1268" s="268">
        <f t="shared" si="265"/>
        <v>135</v>
      </c>
      <c r="E1268" s="267"/>
      <c r="F1268" s="267"/>
      <c r="G1268" s="267"/>
      <c r="H1268" s="267"/>
      <c r="I1268" s="287">
        <v>135</v>
      </c>
      <c r="J1268" s="288">
        <f t="shared" si="266"/>
        <v>1928.57</v>
      </c>
      <c r="K1268" s="276" t="s">
        <v>1087</v>
      </c>
      <c r="L1268" s="33">
        <v>1</v>
      </c>
      <c r="M1268" s="181" t="s">
        <v>3903</v>
      </c>
      <c r="N1268" s="157"/>
      <c r="O1268" s="181" t="s">
        <v>655</v>
      </c>
      <c r="P1268" s="164" t="s">
        <v>1091</v>
      </c>
    </row>
    <row r="1269" s="92" customFormat="1" ht="20.1" customHeight="1" spans="1:16">
      <c r="A1269" s="181" t="s">
        <v>3904</v>
      </c>
      <c r="B1269" s="36" t="s">
        <v>1093</v>
      </c>
      <c r="C1269" s="320"/>
      <c r="D1269" s="268">
        <f t="shared" si="265"/>
        <v>0</v>
      </c>
      <c r="E1269" s="267"/>
      <c r="F1269" s="267"/>
      <c r="G1269" s="267"/>
      <c r="H1269" s="267"/>
      <c r="I1269" s="287"/>
      <c r="J1269" s="288">
        <f t="shared" si="266"/>
        <v>0</v>
      </c>
      <c r="K1269" s="276" t="s">
        <v>1087</v>
      </c>
      <c r="L1269" s="33">
        <v>1</v>
      </c>
      <c r="M1269" s="181" t="s">
        <v>3904</v>
      </c>
      <c r="N1269" s="157"/>
      <c r="O1269" s="181" t="s">
        <v>655</v>
      </c>
      <c r="P1269" s="164" t="s">
        <v>1094</v>
      </c>
    </row>
    <row r="1270" s="92" customFormat="1" ht="20.1" customHeight="1" spans="1:16">
      <c r="A1270" s="181" t="s">
        <v>3905</v>
      </c>
      <c r="B1270" s="36" t="s">
        <v>3906</v>
      </c>
      <c r="C1270" s="320"/>
      <c r="D1270" s="268">
        <f t="shared" si="265"/>
        <v>0</v>
      </c>
      <c r="E1270" s="267"/>
      <c r="F1270" s="267"/>
      <c r="G1270" s="267"/>
      <c r="H1270" s="267"/>
      <c r="I1270" s="287"/>
      <c r="J1270" s="288">
        <f t="shared" si="266"/>
        <v>0</v>
      </c>
      <c r="K1270" s="276" t="s">
        <v>1087</v>
      </c>
      <c r="L1270" s="33">
        <v>1</v>
      </c>
      <c r="M1270" s="181" t="s">
        <v>3905</v>
      </c>
      <c r="N1270" s="157"/>
      <c r="O1270" s="181" t="s">
        <v>655</v>
      </c>
      <c r="P1270" s="164" t="s">
        <v>3907</v>
      </c>
    </row>
    <row r="1271" s="92" customFormat="1" ht="20.1" customHeight="1" spans="1:16">
      <c r="A1271" s="181" t="s">
        <v>3908</v>
      </c>
      <c r="B1271" s="36" t="s">
        <v>3909</v>
      </c>
      <c r="C1271" s="320"/>
      <c r="D1271" s="268">
        <f t="shared" si="265"/>
        <v>0</v>
      </c>
      <c r="E1271" s="267"/>
      <c r="F1271" s="267"/>
      <c r="G1271" s="267"/>
      <c r="H1271" s="267"/>
      <c r="I1271" s="287"/>
      <c r="J1271" s="288">
        <f t="shared" si="266"/>
        <v>0</v>
      </c>
      <c r="K1271" s="276" t="s">
        <v>1087</v>
      </c>
      <c r="L1271" s="33">
        <v>1</v>
      </c>
      <c r="M1271" s="181" t="s">
        <v>3908</v>
      </c>
      <c r="N1271" s="157"/>
      <c r="O1271" s="181" t="s">
        <v>655</v>
      </c>
      <c r="P1271" s="164" t="s">
        <v>3910</v>
      </c>
    </row>
    <row r="1272" s="92" customFormat="1" ht="20.1" customHeight="1" spans="1:16">
      <c r="A1272" s="181" t="s">
        <v>3911</v>
      </c>
      <c r="B1272" s="36" t="s">
        <v>3912</v>
      </c>
      <c r="C1272" s="320"/>
      <c r="D1272" s="268">
        <f t="shared" si="265"/>
        <v>0</v>
      </c>
      <c r="E1272" s="267"/>
      <c r="F1272" s="267"/>
      <c r="G1272" s="267"/>
      <c r="H1272" s="267"/>
      <c r="I1272" s="287"/>
      <c r="J1272" s="288">
        <f t="shared" si="266"/>
        <v>0</v>
      </c>
      <c r="K1272" s="276" t="s">
        <v>1087</v>
      </c>
      <c r="L1272" s="33">
        <v>1</v>
      </c>
      <c r="M1272" s="181" t="s">
        <v>3911</v>
      </c>
      <c r="N1272" s="157"/>
      <c r="O1272" s="181" t="s">
        <v>655</v>
      </c>
      <c r="P1272" s="164" t="s">
        <v>3913</v>
      </c>
    </row>
    <row r="1273" s="92" customFormat="1" ht="20.1" customHeight="1" spans="1:16">
      <c r="A1273" s="181" t="s">
        <v>3914</v>
      </c>
      <c r="B1273" s="36" t="s">
        <v>3915</v>
      </c>
      <c r="C1273" s="320">
        <v>2</v>
      </c>
      <c r="D1273" s="268">
        <f t="shared" si="265"/>
        <v>0</v>
      </c>
      <c r="E1273" s="267"/>
      <c r="F1273" s="267"/>
      <c r="G1273" s="267"/>
      <c r="H1273" s="267"/>
      <c r="I1273" s="287"/>
      <c r="J1273" s="288">
        <f t="shared" si="266"/>
        <v>-100</v>
      </c>
      <c r="K1273" s="276" t="s">
        <v>1087</v>
      </c>
      <c r="L1273" s="33">
        <v>1</v>
      </c>
      <c r="M1273" s="181" t="s">
        <v>3914</v>
      </c>
      <c r="N1273" s="157"/>
      <c r="O1273" s="181" t="s">
        <v>655</v>
      </c>
      <c r="P1273" s="164" t="s">
        <v>3916</v>
      </c>
    </row>
    <row r="1274" s="92" customFormat="1" ht="20.1" customHeight="1" spans="1:16">
      <c r="A1274" s="181" t="s">
        <v>3917</v>
      </c>
      <c r="B1274" s="36" t="s">
        <v>3918</v>
      </c>
      <c r="C1274" s="320"/>
      <c r="D1274" s="268">
        <f t="shared" si="265"/>
        <v>0</v>
      </c>
      <c r="E1274" s="267"/>
      <c r="F1274" s="267"/>
      <c r="G1274" s="267"/>
      <c r="H1274" s="267"/>
      <c r="I1274" s="287"/>
      <c r="J1274" s="288">
        <f t="shared" si="266"/>
        <v>0</v>
      </c>
      <c r="K1274" s="276" t="s">
        <v>1087</v>
      </c>
      <c r="L1274" s="33">
        <v>1</v>
      </c>
      <c r="M1274" s="181" t="s">
        <v>3917</v>
      </c>
      <c r="N1274" s="157"/>
      <c r="O1274" s="181" t="s">
        <v>655</v>
      </c>
      <c r="P1274" s="164" t="s">
        <v>3919</v>
      </c>
    </row>
    <row r="1275" s="92" customFormat="1" ht="20.1" customHeight="1" spans="1:16">
      <c r="A1275" s="181" t="s">
        <v>3920</v>
      </c>
      <c r="B1275" s="36" t="s">
        <v>1114</v>
      </c>
      <c r="C1275" s="320"/>
      <c r="D1275" s="268">
        <f t="shared" si="265"/>
        <v>6</v>
      </c>
      <c r="E1275" s="267"/>
      <c r="F1275" s="267"/>
      <c r="G1275" s="267"/>
      <c r="H1275" s="267"/>
      <c r="I1275" s="287">
        <v>6</v>
      </c>
      <c r="J1275" s="288">
        <f t="shared" si="266"/>
        <v>100</v>
      </c>
      <c r="K1275" s="276" t="s">
        <v>1087</v>
      </c>
      <c r="L1275" s="33">
        <v>1</v>
      </c>
      <c r="M1275" s="181" t="s">
        <v>3920</v>
      </c>
      <c r="N1275" s="157"/>
      <c r="O1275" s="181" t="s">
        <v>655</v>
      </c>
      <c r="P1275" s="164" t="s">
        <v>1115</v>
      </c>
    </row>
    <row r="1276" s="92" customFormat="1" ht="20.1" customHeight="1" spans="1:16">
      <c r="A1276" s="181" t="s">
        <v>3921</v>
      </c>
      <c r="B1276" s="36" t="s">
        <v>3922</v>
      </c>
      <c r="C1276" s="320">
        <v>3</v>
      </c>
      <c r="D1276" s="268">
        <f t="shared" si="265"/>
        <v>0</v>
      </c>
      <c r="E1276" s="267"/>
      <c r="F1276" s="267"/>
      <c r="G1276" s="267"/>
      <c r="H1276" s="267"/>
      <c r="I1276" s="287"/>
      <c r="J1276" s="288">
        <f t="shared" si="266"/>
        <v>-100</v>
      </c>
      <c r="K1276" s="276" t="s">
        <v>1087</v>
      </c>
      <c r="L1276" s="33">
        <v>1</v>
      </c>
      <c r="M1276" s="181" t="s">
        <v>3921</v>
      </c>
      <c r="N1276" s="157"/>
      <c r="O1276" s="181" t="s">
        <v>655</v>
      </c>
      <c r="P1276" s="164" t="s">
        <v>3923</v>
      </c>
    </row>
    <row r="1277" s="93" customFormat="1" ht="20.1" customHeight="1" spans="1:16">
      <c r="A1277" s="263" t="s">
        <v>656</v>
      </c>
      <c r="B1277" s="297" t="s">
        <v>3924</v>
      </c>
      <c r="C1277" s="265">
        <f t="shared" ref="C1277:I1277" si="269">SUM(C1278:C1283)</f>
        <v>679</v>
      </c>
      <c r="D1277" s="265">
        <f t="shared" si="265"/>
        <v>908</v>
      </c>
      <c r="E1277" s="265">
        <f t="shared" si="269"/>
        <v>0</v>
      </c>
      <c r="F1277" s="265">
        <f t="shared" si="269"/>
        <v>0</v>
      </c>
      <c r="G1277" s="265">
        <f t="shared" si="269"/>
        <v>0</v>
      </c>
      <c r="H1277" s="265">
        <f t="shared" si="269"/>
        <v>0</v>
      </c>
      <c r="I1277" s="265">
        <f t="shared" si="269"/>
        <v>908</v>
      </c>
      <c r="J1277" s="298">
        <f t="shared" si="266"/>
        <v>133.73</v>
      </c>
      <c r="K1277" s="284" t="s">
        <v>1082</v>
      </c>
      <c r="L1277" s="285"/>
      <c r="M1277" s="263" t="s">
        <v>656</v>
      </c>
      <c r="N1277" s="263" t="s">
        <v>654</v>
      </c>
      <c r="O1277" s="263" t="s">
        <v>656</v>
      </c>
      <c r="P1277" s="286" t="s">
        <v>3925</v>
      </c>
    </row>
    <row r="1278" s="92" customFormat="1" ht="20.1" customHeight="1" spans="1:16">
      <c r="A1278" s="181" t="s">
        <v>3926</v>
      </c>
      <c r="B1278" s="36" t="s">
        <v>1086</v>
      </c>
      <c r="C1278" s="267"/>
      <c r="D1278" s="268">
        <f t="shared" si="265"/>
        <v>0</v>
      </c>
      <c r="E1278" s="267"/>
      <c r="F1278" s="267"/>
      <c r="G1278" s="267"/>
      <c r="H1278" s="267"/>
      <c r="I1278" s="287"/>
      <c r="J1278" s="288">
        <f t="shared" si="266"/>
        <v>0</v>
      </c>
      <c r="K1278" s="276" t="s">
        <v>1087</v>
      </c>
      <c r="L1278" s="33">
        <v>1</v>
      </c>
      <c r="M1278" s="181" t="s">
        <v>3926</v>
      </c>
      <c r="N1278" s="157"/>
      <c r="O1278" s="181" t="s">
        <v>656</v>
      </c>
      <c r="P1278" s="164" t="s">
        <v>1088</v>
      </c>
    </row>
    <row r="1279" s="92" customFormat="1" ht="20.1" customHeight="1" spans="1:16">
      <c r="A1279" s="181" t="s">
        <v>3927</v>
      </c>
      <c r="B1279" s="36" t="s">
        <v>1090</v>
      </c>
      <c r="C1279" s="267"/>
      <c r="D1279" s="268">
        <f t="shared" si="265"/>
        <v>0</v>
      </c>
      <c r="E1279" s="267"/>
      <c r="F1279" s="267"/>
      <c r="G1279" s="267"/>
      <c r="H1279" s="267"/>
      <c r="I1279" s="287"/>
      <c r="J1279" s="288">
        <f t="shared" si="266"/>
        <v>0</v>
      </c>
      <c r="K1279" s="276" t="s">
        <v>1087</v>
      </c>
      <c r="L1279" s="33">
        <v>1</v>
      </c>
      <c r="M1279" s="181" t="s">
        <v>3927</v>
      </c>
      <c r="N1279" s="157"/>
      <c r="O1279" s="181" t="s">
        <v>656</v>
      </c>
      <c r="P1279" s="164" t="s">
        <v>1091</v>
      </c>
    </row>
    <row r="1280" s="92" customFormat="1" ht="20.1" customHeight="1" spans="1:16">
      <c r="A1280" s="181" t="s">
        <v>3928</v>
      </c>
      <c r="B1280" s="36" t="s">
        <v>1093</v>
      </c>
      <c r="C1280" s="267"/>
      <c r="D1280" s="268">
        <f t="shared" si="265"/>
        <v>0</v>
      </c>
      <c r="E1280" s="267"/>
      <c r="F1280" s="267"/>
      <c r="G1280" s="267"/>
      <c r="H1280" s="267"/>
      <c r="I1280" s="287"/>
      <c r="J1280" s="288">
        <f t="shared" si="266"/>
        <v>0</v>
      </c>
      <c r="K1280" s="276" t="s">
        <v>1087</v>
      </c>
      <c r="L1280" s="33">
        <v>1</v>
      </c>
      <c r="M1280" s="181" t="s">
        <v>3928</v>
      </c>
      <c r="N1280" s="157"/>
      <c r="O1280" s="181" t="s">
        <v>656</v>
      </c>
      <c r="P1280" s="164" t="s">
        <v>1094</v>
      </c>
    </row>
    <row r="1281" s="92" customFormat="1" ht="20.1" customHeight="1" spans="1:16">
      <c r="A1281" s="181" t="s">
        <v>3929</v>
      </c>
      <c r="B1281" s="36" t="s">
        <v>3930</v>
      </c>
      <c r="C1281" s="267">
        <v>675</v>
      </c>
      <c r="D1281" s="268">
        <f t="shared" si="265"/>
        <v>908</v>
      </c>
      <c r="E1281" s="267"/>
      <c r="F1281" s="267"/>
      <c r="G1281" s="267"/>
      <c r="H1281" s="267"/>
      <c r="I1281" s="287">
        <v>908</v>
      </c>
      <c r="J1281" s="288">
        <f t="shared" si="266"/>
        <v>134.52</v>
      </c>
      <c r="K1281" s="276" t="s">
        <v>1087</v>
      </c>
      <c r="L1281" s="33">
        <v>1</v>
      </c>
      <c r="M1281" s="181" t="s">
        <v>3929</v>
      </c>
      <c r="N1281" s="157"/>
      <c r="O1281" s="181" t="s">
        <v>656</v>
      </c>
      <c r="P1281" s="164" t="s">
        <v>3931</v>
      </c>
    </row>
    <row r="1282" s="92" customFormat="1" ht="20.1" customHeight="1" spans="1:16">
      <c r="A1282" s="181" t="s">
        <v>3932</v>
      </c>
      <c r="B1282" s="36" t="s">
        <v>1114</v>
      </c>
      <c r="C1282" s="267"/>
      <c r="D1282" s="268">
        <f t="shared" si="265"/>
        <v>0</v>
      </c>
      <c r="E1282" s="267"/>
      <c r="F1282" s="267"/>
      <c r="G1282" s="267"/>
      <c r="H1282" s="267"/>
      <c r="I1282" s="287"/>
      <c r="J1282" s="288"/>
      <c r="K1282" s="276" t="s">
        <v>1087</v>
      </c>
      <c r="L1282" s="33">
        <v>2</v>
      </c>
      <c r="M1282" s="181" t="s">
        <v>3932</v>
      </c>
      <c r="N1282" s="157"/>
      <c r="O1282" s="181" t="s">
        <v>656</v>
      </c>
      <c r="P1282" s="164" t="s">
        <v>1115</v>
      </c>
    </row>
    <row r="1283" s="92" customFormat="1" ht="20.1" customHeight="1" spans="1:16">
      <c r="A1283" s="181" t="s">
        <v>3933</v>
      </c>
      <c r="B1283" s="36" t="s">
        <v>3934</v>
      </c>
      <c r="C1283" s="267">
        <v>4</v>
      </c>
      <c r="D1283" s="268">
        <f t="shared" si="265"/>
        <v>0</v>
      </c>
      <c r="E1283" s="267"/>
      <c r="F1283" s="267"/>
      <c r="G1283" s="267"/>
      <c r="H1283" s="267"/>
      <c r="I1283" s="287"/>
      <c r="J1283" s="288">
        <f t="shared" ref="J1283:J1313" si="270">ROUND(IF(C1283=0,IF(D1283=0,0,1),IF(D1283=0,-1,D1283/C1283)),4)*100</f>
        <v>-100</v>
      </c>
      <c r="K1283" s="276" t="s">
        <v>1087</v>
      </c>
      <c r="L1283" s="33">
        <v>1</v>
      </c>
      <c r="M1283" s="181" t="s">
        <v>3933</v>
      </c>
      <c r="N1283" s="157"/>
      <c r="O1283" s="181" t="s">
        <v>656</v>
      </c>
      <c r="P1283" s="164" t="s">
        <v>3935</v>
      </c>
    </row>
    <row r="1284" s="93" customFormat="1" ht="20.1" customHeight="1" spans="1:16">
      <c r="A1284" s="263" t="s">
        <v>658</v>
      </c>
      <c r="B1284" s="297" t="s">
        <v>3936</v>
      </c>
      <c r="C1284" s="265">
        <f t="shared" ref="C1284:I1284" si="271">SUM(C1285:C1291)</f>
        <v>0</v>
      </c>
      <c r="D1284" s="265">
        <f t="shared" si="265"/>
        <v>0</v>
      </c>
      <c r="E1284" s="265">
        <f t="shared" si="271"/>
        <v>0</v>
      </c>
      <c r="F1284" s="265">
        <f t="shared" si="271"/>
        <v>0</v>
      </c>
      <c r="G1284" s="265">
        <f t="shared" si="271"/>
        <v>0</v>
      </c>
      <c r="H1284" s="265">
        <f t="shared" si="271"/>
        <v>0</v>
      </c>
      <c r="I1284" s="265">
        <f t="shared" si="271"/>
        <v>0</v>
      </c>
      <c r="J1284" s="298">
        <f t="shared" si="270"/>
        <v>0</v>
      </c>
      <c r="K1284" s="284" t="s">
        <v>1082</v>
      </c>
      <c r="L1284" s="285"/>
      <c r="M1284" s="263" t="s">
        <v>658</v>
      </c>
      <c r="N1284" s="263" t="s">
        <v>654</v>
      </c>
      <c r="O1284" s="263" t="s">
        <v>658</v>
      </c>
      <c r="P1284" s="286" t="s">
        <v>3937</v>
      </c>
    </row>
    <row r="1285" s="92" customFormat="1" ht="20.1" customHeight="1" spans="1:16">
      <c r="A1285" s="181" t="s">
        <v>3938</v>
      </c>
      <c r="B1285" s="36" t="s">
        <v>1086</v>
      </c>
      <c r="C1285" s="267">
        <v>0</v>
      </c>
      <c r="D1285" s="268">
        <f t="shared" si="265"/>
        <v>0</v>
      </c>
      <c r="E1285" s="267"/>
      <c r="F1285" s="267"/>
      <c r="G1285" s="267"/>
      <c r="H1285" s="267"/>
      <c r="I1285" s="287"/>
      <c r="J1285" s="288">
        <f t="shared" si="270"/>
        <v>0</v>
      </c>
      <c r="K1285" s="276" t="s">
        <v>1087</v>
      </c>
      <c r="L1285" s="33">
        <v>1</v>
      </c>
      <c r="M1285" s="181" t="s">
        <v>3938</v>
      </c>
      <c r="N1285" s="157"/>
      <c r="O1285" s="181" t="s">
        <v>658</v>
      </c>
      <c r="P1285" s="164" t="s">
        <v>1088</v>
      </c>
    </row>
    <row r="1286" s="92" customFormat="1" ht="20.1" customHeight="1" spans="1:16">
      <c r="A1286" s="181" t="s">
        <v>3939</v>
      </c>
      <c r="B1286" s="36" t="s">
        <v>1090</v>
      </c>
      <c r="C1286" s="267">
        <v>0</v>
      </c>
      <c r="D1286" s="268">
        <f t="shared" si="265"/>
        <v>0</v>
      </c>
      <c r="E1286" s="267"/>
      <c r="F1286" s="267"/>
      <c r="G1286" s="267"/>
      <c r="H1286" s="267"/>
      <c r="I1286" s="287"/>
      <c r="J1286" s="288">
        <f t="shared" si="270"/>
        <v>0</v>
      </c>
      <c r="K1286" s="276" t="s">
        <v>1087</v>
      </c>
      <c r="L1286" s="33">
        <v>1</v>
      </c>
      <c r="M1286" s="181" t="s">
        <v>3939</v>
      </c>
      <c r="N1286" s="157"/>
      <c r="O1286" s="181" t="s">
        <v>658</v>
      </c>
      <c r="P1286" s="164" t="s">
        <v>1091</v>
      </c>
    </row>
    <row r="1287" s="92" customFormat="1" ht="20.1" customHeight="1" spans="1:16">
      <c r="A1287" s="181" t="s">
        <v>3940</v>
      </c>
      <c r="B1287" s="36" t="s">
        <v>1093</v>
      </c>
      <c r="C1287" s="267">
        <v>0</v>
      </c>
      <c r="D1287" s="268">
        <f t="shared" si="265"/>
        <v>0</v>
      </c>
      <c r="E1287" s="267"/>
      <c r="F1287" s="267"/>
      <c r="G1287" s="267"/>
      <c r="H1287" s="267"/>
      <c r="I1287" s="287"/>
      <c r="J1287" s="288">
        <f t="shared" si="270"/>
        <v>0</v>
      </c>
      <c r="K1287" s="276" t="s">
        <v>1087</v>
      </c>
      <c r="L1287" s="33">
        <v>1</v>
      </c>
      <c r="M1287" s="181" t="s">
        <v>3940</v>
      </c>
      <c r="N1287" s="157"/>
      <c r="O1287" s="181" t="s">
        <v>658</v>
      </c>
      <c r="P1287" s="164" t="s">
        <v>1094</v>
      </c>
    </row>
    <row r="1288" s="92" customFormat="1" ht="20.1" customHeight="1" spans="1:16">
      <c r="A1288" s="181" t="s">
        <v>3941</v>
      </c>
      <c r="B1288" s="36" t="s">
        <v>3942</v>
      </c>
      <c r="C1288" s="267">
        <v>0</v>
      </c>
      <c r="D1288" s="268">
        <f t="shared" si="265"/>
        <v>0</v>
      </c>
      <c r="E1288" s="267"/>
      <c r="F1288" s="267"/>
      <c r="G1288" s="267"/>
      <c r="H1288" s="267"/>
      <c r="I1288" s="287"/>
      <c r="J1288" s="288">
        <f t="shared" si="270"/>
        <v>0</v>
      </c>
      <c r="K1288" s="276" t="s">
        <v>1087</v>
      </c>
      <c r="L1288" s="33">
        <v>1</v>
      </c>
      <c r="M1288" s="181" t="s">
        <v>3941</v>
      </c>
      <c r="N1288" s="157"/>
      <c r="O1288" s="181" t="s">
        <v>658</v>
      </c>
      <c r="P1288" s="36" t="s">
        <v>3943</v>
      </c>
    </row>
    <row r="1289" s="92" customFormat="1" ht="20.1" customHeight="1" spans="1:16">
      <c r="A1289" s="181" t="s">
        <v>3944</v>
      </c>
      <c r="B1289" s="36" t="s">
        <v>3945</v>
      </c>
      <c r="C1289" s="267">
        <v>0</v>
      </c>
      <c r="D1289" s="268">
        <f t="shared" si="265"/>
        <v>0</v>
      </c>
      <c r="E1289" s="267"/>
      <c r="F1289" s="267"/>
      <c r="G1289" s="267"/>
      <c r="H1289" s="267"/>
      <c r="I1289" s="287"/>
      <c r="J1289" s="288">
        <f t="shared" si="270"/>
        <v>0</v>
      </c>
      <c r="K1289" s="276" t="s">
        <v>1087</v>
      </c>
      <c r="L1289" s="33">
        <v>1</v>
      </c>
      <c r="M1289" s="181" t="s">
        <v>3944</v>
      </c>
      <c r="N1289" s="157"/>
      <c r="O1289" s="181" t="s">
        <v>658</v>
      </c>
      <c r="P1289" s="36" t="s">
        <v>3946</v>
      </c>
    </row>
    <row r="1290" s="92" customFormat="1" ht="20.1" customHeight="1" spans="1:16">
      <c r="A1290" s="181" t="s">
        <v>3947</v>
      </c>
      <c r="B1290" s="36" t="s">
        <v>1114</v>
      </c>
      <c r="C1290" s="267">
        <v>0</v>
      </c>
      <c r="D1290" s="268">
        <f t="shared" si="265"/>
        <v>0</v>
      </c>
      <c r="E1290" s="267"/>
      <c r="F1290" s="267"/>
      <c r="G1290" s="267"/>
      <c r="H1290" s="267"/>
      <c r="I1290" s="287"/>
      <c r="J1290" s="288">
        <f t="shared" si="270"/>
        <v>0</v>
      </c>
      <c r="K1290" s="276" t="s">
        <v>1087</v>
      </c>
      <c r="L1290" s="33">
        <v>1</v>
      </c>
      <c r="M1290" s="181" t="s">
        <v>3947</v>
      </c>
      <c r="N1290" s="157"/>
      <c r="O1290" s="181" t="s">
        <v>658</v>
      </c>
      <c r="P1290" s="36" t="s">
        <v>1115</v>
      </c>
    </row>
    <row r="1291" s="92" customFormat="1" ht="20.1" customHeight="1" spans="1:16">
      <c r="A1291" s="181" t="s">
        <v>3948</v>
      </c>
      <c r="B1291" s="36" t="s">
        <v>3949</v>
      </c>
      <c r="C1291" s="267">
        <v>0</v>
      </c>
      <c r="D1291" s="268">
        <f t="shared" si="265"/>
        <v>0</v>
      </c>
      <c r="E1291" s="267"/>
      <c r="F1291" s="267"/>
      <c r="G1291" s="267"/>
      <c r="H1291" s="267"/>
      <c r="I1291" s="287"/>
      <c r="J1291" s="288">
        <f t="shared" si="270"/>
        <v>0</v>
      </c>
      <c r="K1291" s="276" t="s">
        <v>1087</v>
      </c>
      <c r="L1291" s="33">
        <v>1</v>
      </c>
      <c r="M1291" s="181" t="s">
        <v>3948</v>
      </c>
      <c r="N1291" s="157"/>
      <c r="O1291" s="181" t="s">
        <v>658</v>
      </c>
      <c r="P1291" s="36" t="s">
        <v>3950</v>
      </c>
    </row>
    <row r="1292" s="93" customFormat="1" ht="20.1" customHeight="1" spans="1:16">
      <c r="A1292" s="263" t="s">
        <v>659</v>
      </c>
      <c r="B1292" s="297" t="s">
        <v>3951</v>
      </c>
      <c r="C1292" s="265">
        <f t="shared" ref="C1292:I1292" si="272">SUM(C1293:C1304)</f>
        <v>0</v>
      </c>
      <c r="D1292" s="265">
        <f t="shared" si="265"/>
        <v>0</v>
      </c>
      <c r="E1292" s="265">
        <f t="shared" si="272"/>
        <v>0</v>
      </c>
      <c r="F1292" s="265">
        <f t="shared" si="272"/>
        <v>0</v>
      </c>
      <c r="G1292" s="265">
        <f t="shared" si="272"/>
        <v>0</v>
      </c>
      <c r="H1292" s="265">
        <f t="shared" si="272"/>
        <v>0</v>
      </c>
      <c r="I1292" s="265">
        <f t="shared" si="272"/>
        <v>0</v>
      </c>
      <c r="J1292" s="298">
        <f t="shared" si="270"/>
        <v>0</v>
      </c>
      <c r="K1292" s="284" t="s">
        <v>1082</v>
      </c>
      <c r="L1292" s="285"/>
      <c r="M1292" s="263" t="s">
        <v>659</v>
      </c>
      <c r="N1292" s="263" t="s">
        <v>654</v>
      </c>
      <c r="O1292" s="263" t="s">
        <v>659</v>
      </c>
      <c r="P1292" s="286" t="s">
        <v>3952</v>
      </c>
    </row>
    <row r="1293" s="92" customFormat="1" ht="20.1" customHeight="1" spans="1:16">
      <c r="A1293" s="181" t="s">
        <v>3953</v>
      </c>
      <c r="B1293" s="36" t="s">
        <v>1086</v>
      </c>
      <c r="C1293" s="267">
        <v>0</v>
      </c>
      <c r="D1293" s="268">
        <f t="shared" si="265"/>
        <v>0</v>
      </c>
      <c r="E1293" s="267"/>
      <c r="F1293" s="267"/>
      <c r="G1293" s="267"/>
      <c r="H1293" s="267"/>
      <c r="I1293" s="287"/>
      <c r="J1293" s="288">
        <f t="shared" si="270"/>
        <v>0</v>
      </c>
      <c r="K1293" s="276" t="s">
        <v>1087</v>
      </c>
      <c r="L1293" s="33">
        <v>1</v>
      </c>
      <c r="M1293" s="181" t="s">
        <v>3953</v>
      </c>
      <c r="N1293" s="157"/>
      <c r="O1293" s="181" t="s">
        <v>659</v>
      </c>
      <c r="P1293" s="164" t="s">
        <v>1088</v>
      </c>
    </row>
    <row r="1294" s="92" customFormat="1" ht="20.1" customHeight="1" spans="1:16">
      <c r="A1294" s="181" t="s">
        <v>3954</v>
      </c>
      <c r="B1294" s="36" t="s">
        <v>1090</v>
      </c>
      <c r="C1294" s="267">
        <v>0</v>
      </c>
      <c r="D1294" s="268">
        <f t="shared" si="265"/>
        <v>0</v>
      </c>
      <c r="E1294" s="267"/>
      <c r="F1294" s="267"/>
      <c r="G1294" s="267"/>
      <c r="H1294" s="267"/>
      <c r="I1294" s="287"/>
      <c r="J1294" s="288">
        <f t="shared" si="270"/>
        <v>0</v>
      </c>
      <c r="K1294" s="276" t="s">
        <v>1087</v>
      </c>
      <c r="L1294" s="33">
        <v>1</v>
      </c>
      <c r="M1294" s="181" t="s">
        <v>3954</v>
      </c>
      <c r="N1294" s="157"/>
      <c r="O1294" s="181" t="s">
        <v>659</v>
      </c>
      <c r="P1294" s="164" t="s">
        <v>1091</v>
      </c>
    </row>
    <row r="1295" s="92" customFormat="1" ht="20.1" customHeight="1" spans="1:16">
      <c r="A1295" s="181" t="s">
        <v>3955</v>
      </c>
      <c r="B1295" s="36" t="s">
        <v>1093</v>
      </c>
      <c r="C1295" s="267">
        <v>0</v>
      </c>
      <c r="D1295" s="268">
        <f t="shared" si="265"/>
        <v>0</v>
      </c>
      <c r="E1295" s="267"/>
      <c r="F1295" s="267"/>
      <c r="G1295" s="267"/>
      <c r="H1295" s="267"/>
      <c r="I1295" s="287"/>
      <c r="J1295" s="288">
        <f t="shared" si="270"/>
        <v>0</v>
      </c>
      <c r="K1295" s="276" t="s">
        <v>1087</v>
      </c>
      <c r="L1295" s="33">
        <v>1</v>
      </c>
      <c r="M1295" s="181" t="s">
        <v>3955</v>
      </c>
      <c r="N1295" s="157"/>
      <c r="O1295" s="181" t="s">
        <v>659</v>
      </c>
      <c r="P1295" s="164" t="s">
        <v>1094</v>
      </c>
    </row>
    <row r="1296" s="92" customFormat="1" ht="20.1" customHeight="1" spans="1:16">
      <c r="A1296" s="181" t="s">
        <v>3956</v>
      </c>
      <c r="B1296" s="36" t="s">
        <v>3957</v>
      </c>
      <c r="C1296" s="267">
        <v>0</v>
      </c>
      <c r="D1296" s="268">
        <f t="shared" si="265"/>
        <v>0</v>
      </c>
      <c r="E1296" s="267"/>
      <c r="F1296" s="267"/>
      <c r="G1296" s="267"/>
      <c r="H1296" s="267"/>
      <c r="I1296" s="287"/>
      <c r="J1296" s="288">
        <f t="shared" si="270"/>
        <v>0</v>
      </c>
      <c r="K1296" s="276" t="s">
        <v>1087</v>
      </c>
      <c r="L1296" s="33">
        <v>1</v>
      </c>
      <c r="M1296" s="181" t="s">
        <v>3956</v>
      </c>
      <c r="N1296" s="157"/>
      <c r="O1296" s="181" t="s">
        <v>659</v>
      </c>
      <c r="P1296" s="164" t="s">
        <v>3958</v>
      </c>
    </row>
    <row r="1297" s="92" customFormat="1" ht="20.1" customHeight="1" spans="1:16">
      <c r="A1297" s="181" t="s">
        <v>3959</v>
      </c>
      <c r="B1297" s="36" t="s">
        <v>3960</v>
      </c>
      <c r="C1297" s="267">
        <v>0</v>
      </c>
      <c r="D1297" s="268">
        <f t="shared" si="265"/>
        <v>0</v>
      </c>
      <c r="E1297" s="267"/>
      <c r="F1297" s="267"/>
      <c r="G1297" s="267"/>
      <c r="H1297" s="267"/>
      <c r="I1297" s="287"/>
      <c r="J1297" s="288">
        <f t="shared" si="270"/>
        <v>0</v>
      </c>
      <c r="K1297" s="276" t="s">
        <v>1087</v>
      </c>
      <c r="L1297" s="33">
        <v>1</v>
      </c>
      <c r="M1297" s="181" t="s">
        <v>3959</v>
      </c>
      <c r="N1297" s="157"/>
      <c r="O1297" s="181" t="s">
        <v>659</v>
      </c>
      <c r="P1297" s="164" t="s">
        <v>3961</v>
      </c>
    </row>
    <row r="1298" s="92" customFormat="1" ht="20.1" customHeight="1" spans="1:16">
      <c r="A1298" s="181" t="s">
        <v>3962</v>
      </c>
      <c r="B1298" s="36" t="s">
        <v>3963</v>
      </c>
      <c r="C1298" s="267">
        <v>0</v>
      </c>
      <c r="D1298" s="268">
        <f t="shared" si="265"/>
        <v>0</v>
      </c>
      <c r="E1298" s="267"/>
      <c r="F1298" s="267"/>
      <c r="G1298" s="267"/>
      <c r="H1298" s="267"/>
      <c r="I1298" s="287"/>
      <c r="J1298" s="288">
        <f t="shared" si="270"/>
        <v>0</v>
      </c>
      <c r="K1298" s="276" t="s">
        <v>1087</v>
      </c>
      <c r="L1298" s="33">
        <v>1</v>
      </c>
      <c r="M1298" s="181" t="s">
        <v>3962</v>
      </c>
      <c r="N1298" s="157"/>
      <c r="O1298" s="181" t="s">
        <v>659</v>
      </c>
      <c r="P1298" s="164" t="s">
        <v>3964</v>
      </c>
    </row>
    <row r="1299" s="92" customFormat="1" ht="20.1" customHeight="1" spans="1:16">
      <c r="A1299" s="181" t="s">
        <v>3965</v>
      </c>
      <c r="B1299" s="36" t="s">
        <v>3966</v>
      </c>
      <c r="C1299" s="267">
        <v>0</v>
      </c>
      <c r="D1299" s="268">
        <f t="shared" si="265"/>
        <v>0</v>
      </c>
      <c r="E1299" s="267"/>
      <c r="F1299" s="267"/>
      <c r="G1299" s="267"/>
      <c r="H1299" s="267"/>
      <c r="I1299" s="287"/>
      <c r="J1299" s="288">
        <f t="shared" si="270"/>
        <v>0</v>
      </c>
      <c r="K1299" s="276" t="s">
        <v>1087</v>
      </c>
      <c r="L1299" s="33">
        <v>1</v>
      </c>
      <c r="M1299" s="181" t="s">
        <v>3965</v>
      </c>
      <c r="N1299" s="157"/>
      <c r="O1299" s="181" t="s">
        <v>659</v>
      </c>
      <c r="P1299" s="164" t="s">
        <v>3967</v>
      </c>
    </row>
    <row r="1300" s="92" customFormat="1" ht="20.1" customHeight="1" spans="1:16">
      <c r="A1300" s="181" t="s">
        <v>3968</v>
      </c>
      <c r="B1300" s="36" t="s">
        <v>3969</v>
      </c>
      <c r="C1300" s="267">
        <v>0</v>
      </c>
      <c r="D1300" s="268">
        <f t="shared" si="265"/>
        <v>0</v>
      </c>
      <c r="E1300" s="267"/>
      <c r="F1300" s="267"/>
      <c r="G1300" s="267"/>
      <c r="H1300" s="267"/>
      <c r="I1300" s="287"/>
      <c r="J1300" s="288">
        <f t="shared" si="270"/>
        <v>0</v>
      </c>
      <c r="K1300" s="276" t="s">
        <v>1087</v>
      </c>
      <c r="L1300" s="33">
        <v>1</v>
      </c>
      <c r="M1300" s="181" t="s">
        <v>3968</v>
      </c>
      <c r="N1300" s="157"/>
      <c r="O1300" s="181" t="s">
        <v>659</v>
      </c>
      <c r="P1300" s="164" t="s">
        <v>3970</v>
      </c>
    </row>
    <row r="1301" s="92" customFormat="1" ht="20.1" customHeight="1" spans="1:16">
      <c r="A1301" s="181" t="s">
        <v>3971</v>
      </c>
      <c r="B1301" s="36" t="s">
        <v>3972</v>
      </c>
      <c r="C1301" s="267">
        <v>0</v>
      </c>
      <c r="D1301" s="268">
        <f t="shared" si="265"/>
        <v>0</v>
      </c>
      <c r="E1301" s="267"/>
      <c r="F1301" s="267"/>
      <c r="G1301" s="267"/>
      <c r="H1301" s="267"/>
      <c r="I1301" s="287"/>
      <c r="J1301" s="288">
        <f t="shared" si="270"/>
        <v>0</v>
      </c>
      <c r="K1301" s="276" t="s">
        <v>1087</v>
      </c>
      <c r="L1301" s="33">
        <v>1</v>
      </c>
      <c r="M1301" s="181" t="s">
        <v>3971</v>
      </c>
      <c r="N1301" s="157"/>
      <c r="O1301" s="181" t="s">
        <v>659</v>
      </c>
      <c r="P1301" s="164" t="s">
        <v>3973</v>
      </c>
    </row>
    <row r="1302" s="92" customFormat="1" ht="20.1" customHeight="1" spans="1:16">
      <c r="A1302" s="181" t="s">
        <v>3974</v>
      </c>
      <c r="B1302" s="36" t="s">
        <v>3975</v>
      </c>
      <c r="C1302" s="267">
        <v>0</v>
      </c>
      <c r="D1302" s="268">
        <f t="shared" si="265"/>
        <v>0</v>
      </c>
      <c r="E1302" s="267"/>
      <c r="F1302" s="267"/>
      <c r="G1302" s="267"/>
      <c r="H1302" s="267"/>
      <c r="I1302" s="287"/>
      <c r="J1302" s="288">
        <f t="shared" si="270"/>
        <v>0</v>
      </c>
      <c r="K1302" s="276" t="s">
        <v>1087</v>
      </c>
      <c r="L1302" s="33">
        <v>1</v>
      </c>
      <c r="M1302" s="181" t="s">
        <v>3974</v>
      </c>
      <c r="N1302" s="157"/>
      <c r="O1302" s="181" t="s">
        <v>659</v>
      </c>
      <c r="P1302" s="164" t="s">
        <v>3976</v>
      </c>
    </row>
    <row r="1303" s="92" customFormat="1" ht="20.1" customHeight="1" spans="1:16">
      <c r="A1303" s="181" t="s">
        <v>3977</v>
      </c>
      <c r="B1303" s="36" t="s">
        <v>3978</v>
      </c>
      <c r="C1303" s="267">
        <v>0</v>
      </c>
      <c r="D1303" s="268">
        <f t="shared" si="265"/>
        <v>0</v>
      </c>
      <c r="E1303" s="267"/>
      <c r="F1303" s="267"/>
      <c r="G1303" s="267"/>
      <c r="H1303" s="267"/>
      <c r="I1303" s="287"/>
      <c r="J1303" s="288">
        <f t="shared" si="270"/>
        <v>0</v>
      </c>
      <c r="K1303" s="276" t="s">
        <v>1087</v>
      </c>
      <c r="L1303" s="33">
        <v>1</v>
      </c>
      <c r="M1303" s="181" t="s">
        <v>3977</v>
      </c>
      <c r="N1303" s="157"/>
      <c r="O1303" s="181" t="s">
        <v>659</v>
      </c>
      <c r="P1303" s="164" t="s">
        <v>3979</v>
      </c>
    </row>
    <row r="1304" s="92" customFormat="1" ht="20.1" customHeight="1" spans="1:16">
      <c r="A1304" s="181" t="s">
        <v>3980</v>
      </c>
      <c r="B1304" s="36" t="s">
        <v>3981</v>
      </c>
      <c r="C1304" s="267">
        <v>0</v>
      </c>
      <c r="D1304" s="268">
        <f t="shared" si="265"/>
        <v>0</v>
      </c>
      <c r="E1304" s="267"/>
      <c r="F1304" s="267"/>
      <c r="G1304" s="267"/>
      <c r="H1304" s="267"/>
      <c r="I1304" s="287"/>
      <c r="J1304" s="288">
        <f t="shared" si="270"/>
        <v>0</v>
      </c>
      <c r="K1304" s="276" t="s">
        <v>1087</v>
      </c>
      <c r="L1304" s="33">
        <v>1</v>
      </c>
      <c r="M1304" s="181" t="s">
        <v>3980</v>
      </c>
      <c r="N1304" s="157"/>
      <c r="O1304" s="181" t="s">
        <v>659</v>
      </c>
      <c r="P1304" s="164" t="s">
        <v>3982</v>
      </c>
    </row>
    <row r="1305" s="93" customFormat="1" ht="20.1" customHeight="1" spans="1:16">
      <c r="A1305" s="263" t="s">
        <v>660</v>
      </c>
      <c r="B1305" s="297" t="s">
        <v>3983</v>
      </c>
      <c r="C1305" s="265">
        <f t="shared" ref="C1305:I1305" si="273">SUM(C1306:C1308)</f>
        <v>1211</v>
      </c>
      <c r="D1305" s="265">
        <f t="shared" si="265"/>
        <v>1317</v>
      </c>
      <c r="E1305" s="265">
        <f t="shared" si="273"/>
        <v>0</v>
      </c>
      <c r="F1305" s="265">
        <f t="shared" si="273"/>
        <v>60</v>
      </c>
      <c r="G1305" s="265">
        <f t="shared" si="273"/>
        <v>1257</v>
      </c>
      <c r="H1305" s="265">
        <f t="shared" si="273"/>
        <v>0</v>
      </c>
      <c r="I1305" s="265">
        <f t="shared" si="273"/>
        <v>0</v>
      </c>
      <c r="J1305" s="298">
        <f t="shared" si="270"/>
        <v>108.75</v>
      </c>
      <c r="K1305" s="284" t="s">
        <v>1082</v>
      </c>
      <c r="L1305" s="285"/>
      <c r="M1305" s="263" t="s">
        <v>660</v>
      </c>
      <c r="N1305" s="263" t="s">
        <v>654</v>
      </c>
      <c r="O1305" s="263" t="s">
        <v>660</v>
      </c>
      <c r="P1305" s="286" t="s">
        <v>3984</v>
      </c>
    </row>
    <row r="1306" s="92" customFormat="1" ht="20.1" customHeight="1" spans="1:16">
      <c r="A1306" s="181" t="s">
        <v>3985</v>
      </c>
      <c r="B1306" s="36" t="s">
        <v>3986</v>
      </c>
      <c r="C1306" s="267">
        <v>1211</v>
      </c>
      <c r="D1306" s="268">
        <f t="shared" si="265"/>
        <v>1317</v>
      </c>
      <c r="E1306" s="267"/>
      <c r="F1306" s="267">
        <v>60</v>
      </c>
      <c r="G1306" s="267">
        <v>1257</v>
      </c>
      <c r="H1306" s="267"/>
      <c r="I1306" s="287"/>
      <c r="J1306" s="288">
        <f t="shared" si="270"/>
        <v>108.75</v>
      </c>
      <c r="K1306" s="276" t="s">
        <v>1087</v>
      </c>
      <c r="L1306" s="33">
        <v>1</v>
      </c>
      <c r="M1306" s="181" t="s">
        <v>3985</v>
      </c>
      <c r="N1306" s="157"/>
      <c r="O1306" s="181" t="s">
        <v>660</v>
      </c>
      <c r="P1306" s="164" t="s">
        <v>3987</v>
      </c>
    </row>
    <row r="1307" s="92" customFormat="1" ht="20.1" customHeight="1" spans="1:16">
      <c r="A1307" s="181" t="s">
        <v>3988</v>
      </c>
      <c r="B1307" s="36" t="s">
        <v>3989</v>
      </c>
      <c r="C1307" s="267"/>
      <c r="D1307" s="268">
        <f t="shared" si="265"/>
        <v>0</v>
      </c>
      <c r="E1307" s="267"/>
      <c r="F1307" s="267"/>
      <c r="G1307" s="267"/>
      <c r="H1307" s="267"/>
      <c r="I1307" s="287"/>
      <c r="J1307" s="288">
        <f t="shared" si="270"/>
        <v>0</v>
      </c>
      <c r="K1307" s="276" t="s">
        <v>1087</v>
      </c>
      <c r="L1307" s="33">
        <v>1</v>
      </c>
      <c r="M1307" s="181" t="s">
        <v>3988</v>
      </c>
      <c r="N1307" s="157"/>
      <c r="O1307" s="181" t="s">
        <v>660</v>
      </c>
      <c r="P1307" s="164" t="s">
        <v>3990</v>
      </c>
    </row>
    <row r="1308" s="92" customFormat="1" ht="20.1" customHeight="1" spans="1:16">
      <c r="A1308" s="181" t="s">
        <v>3991</v>
      </c>
      <c r="B1308" s="36" t="s">
        <v>3992</v>
      </c>
      <c r="C1308" s="267"/>
      <c r="D1308" s="268">
        <f t="shared" si="265"/>
        <v>0</v>
      </c>
      <c r="E1308" s="267"/>
      <c r="F1308" s="267"/>
      <c r="G1308" s="267"/>
      <c r="H1308" s="267"/>
      <c r="I1308" s="287"/>
      <c r="J1308" s="288">
        <f t="shared" si="270"/>
        <v>0</v>
      </c>
      <c r="K1308" s="276" t="s">
        <v>1087</v>
      </c>
      <c r="L1308" s="33">
        <v>1</v>
      </c>
      <c r="M1308" s="181" t="s">
        <v>3991</v>
      </c>
      <c r="N1308" s="157"/>
      <c r="O1308" s="181" t="s">
        <v>660</v>
      </c>
      <c r="P1308" s="164" t="s">
        <v>3993</v>
      </c>
    </row>
    <row r="1309" s="93" customFormat="1" ht="20.1" customHeight="1" spans="1:16">
      <c r="A1309" s="263" t="s">
        <v>661</v>
      </c>
      <c r="B1309" s="297" t="s">
        <v>3994</v>
      </c>
      <c r="C1309" s="265">
        <f t="shared" ref="C1309:I1309" si="274">SUM(C1310:C1312)</f>
        <v>17</v>
      </c>
      <c r="D1309" s="265">
        <f t="shared" si="265"/>
        <v>84</v>
      </c>
      <c r="E1309" s="265">
        <f t="shared" si="274"/>
        <v>0</v>
      </c>
      <c r="F1309" s="265">
        <f t="shared" si="274"/>
        <v>0</v>
      </c>
      <c r="G1309" s="265">
        <f t="shared" si="274"/>
        <v>84</v>
      </c>
      <c r="H1309" s="265">
        <f t="shared" si="274"/>
        <v>0</v>
      </c>
      <c r="I1309" s="265">
        <f t="shared" si="274"/>
        <v>0</v>
      </c>
      <c r="J1309" s="298">
        <f t="shared" si="270"/>
        <v>494.12</v>
      </c>
      <c r="K1309" s="284" t="s">
        <v>1082</v>
      </c>
      <c r="L1309" s="285"/>
      <c r="M1309" s="263" t="s">
        <v>661</v>
      </c>
      <c r="N1309" s="263" t="s">
        <v>654</v>
      </c>
      <c r="O1309" s="263" t="s">
        <v>661</v>
      </c>
      <c r="P1309" s="286" t="s">
        <v>3995</v>
      </c>
    </row>
    <row r="1310" s="92" customFormat="1" ht="20.1" customHeight="1" spans="1:16">
      <c r="A1310" s="181" t="s">
        <v>3996</v>
      </c>
      <c r="B1310" s="36" t="s">
        <v>3997</v>
      </c>
      <c r="C1310" s="320">
        <v>2</v>
      </c>
      <c r="D1310" s="268">
        <f t="shared" si="265"/>
        <v>2</v>
      </c>
      <c r="E1310" s="267"/>
      <c r="F1310" s="267"/>
      <c r="G1310" s="267">
        <v>2</v>
      </c>
      <c r="H1310" s="267"/>
      <c r="I1310" s="287"/>
      <c r="J1310" s="288">
        <f t="shared" si="270"/>
        <v>100</v>
      </c>
      <c r="K1310" s="276" t="s">
        <v>1087</v>
      </c>
      <c r="L1310" s="33">
        <v>1</v>
      </c>
      <c r="M1310" s="181" t="s">
        <v>3996</v>
      </c>
      <c r="N1310" s="157"/>
      <c r="O1310" s="181" t="s">
        <v>661</v>
      </c>
      <c r="P1310" s="164" t="s">
        <v>3998</v>
      </c>
    </row>
    <row r="1311" s="92" customFormat="1" ht="20.1" customHeight="1" spans="1:16">
      <c r="A1311" s="181" t="s">
        <v>3999</v>
      </c>
      <c r="B1311" s="36" t="s">
        <v>4000</v>
      </c>
      <c r="C1311" s="320">
        <v>1</v>
      </c>
      <c r="D1311" s="268">
        <f t="shared" si="265"/>
        <v>0</v>
      </c>
      <c r="E1311" s="267"/>
      <c r="F1311" s="267"/>
      <c r="G1311" s="267"/>
      <c r="H1311" s="267"/>
      <c r="I1311" s="287"/>
      <c r="J1311" s="288">
        <f t="shared" si="270"/>
        <v>-100</v>
      </c>
      <c r="K1311" s="276" t="s">
        <v>1087</v>
      </c>
      <c r="L1311" s="33">
        <v>1</v>
      </c>
      <c r="M1311" s="181" t="s">
        <v>3999</v>
      </c>
      <c r="N1311" s="157"/>
      <c r="O1311" s="181" t="s">
        <v>661</v>
      </c>
      <c r="P1311" s="164" t="s">
        <v>4001</v>
      </c>
    </row>
    <row r="1312" s="92" customFormat="1" ht="20.1" customHeight="1" spans="1:16">
      <c r="A1312" s="181" t="s">
        <v>4002</v>
      </c>
      <c r="B1312" s="36" t="s">
        <v>4003</v>
      </c>
      <c r="C1312" s="320">
        <v>14</v>
      </c>
      <c r="D1312" s="268">
        <f t="shared" si="265"/>
        <v>82</v>
      </c>
      <c r="E1312" s="267"/>
      <c r="F1312" s="267"/>
      <c r="G1312" s="267">
        <v>82</v>
      </c>
      <c r="H1312" s="267"/>
      <c r="I1312" s="287"/>
      <c r="J1312" s="288">
        <f t="shared" si="270"/>
        <v>585.71</v>
      </c>
      <c r="K1312" s="276" t="s">
        <v>1087</v>
      </c>
      <c r="L1312" s="33">
        <v>1</v>
      </c>
      <c r="M1312" s="181" t="s">
        <v>4002</v>
      </c>
      <c r="N1312" s="157"/>
      <c r="O1312" s="181" t="s">
        <v>661</v>
      </c>
      <c r="P1312" s="164" t="s">
        <v>4004</v>
      </c>
    </row>
    <row r="1313" s="93" customFormat="1" ht="20.1" customHeight="1" spans="1:16">
      <c r="A1313" s="263" t="s">
        <v>662</v>
      </c>
      <c r="B1313" s="297" t="s">
        <v>4005</v>
      </c>
      <c r="C1313" s="265">
        <f t="shared" ref="C1313:I1313" si="275">SUM(C1314)</f>
        <v>144</v>
      </c>
      <c r="D1313" s="265">
        <f t="shared" si="265"/>
        <v>509</v>
      </c>
      <c r="E1313" s="265">
        <f t="shared" si="275"/>
        <v>0</v>
      </c>
      <c r="F1313" s="265">
        <f t="shared" si="275"/>
        <v>0</v>
      </c>
      <c r="G1313" s="265">
        <f t="shared" si="275"/>
        <v>509</v>
      </c>
      <c r="H1313" s="265">
        <f t="shared" si="275"/>
        <v>0</v>
      </c>
      <c r="I1313" s="265">
        <f t="shared" si="275"/>
        <v>0</v>
      </c>
      <c r="J1313" s="298">
        <f t="shared" si="270"/>
        <v>353.47</v>
      </c>
      <c r="K1313" s="284" t="s">
        <v>1082</v>
      </c>
      <c r="L1313" s="285">
        <v>1</v>
      </c>
      <c r="M1313" s="263" t="s">
        <v>662</v>
      </c>
      <c r="N1313" s="263" t="s">
        <v>654</v>
      </c>
      <c r="O1313" s="263" t="s">
        <v>662</v>
      </c>
      <c r="P1313" s="286" t="s">
        <v>4006</v>
      </c>
    </row>
    <row r="1314" s="92" customFormat="1" ht="20.1" customHeight="1" spans="1:16">
      <c r="A1314" s="181" t="s">
        <v>4007</v>
      </c>
      <c r="B1314" s="36" t="s">
        <v>418</v>
      </c>
      <c r="C1314" s="267">
        <v>144</v>
      </c>
      <c r="D1314" s="268">
        <f t="shared" si="265"/>
        <v>509</v>
      </c>
      <c r="E1314" s="267"/>
      <c r="F1314" s="267"/>
      <c r="G1314" s="267">
        <v>509</v>
      </c>
      <c r="H1314" s="267"/>
      <c r="I1314" s="287"/>
      <c r="J1314" s="288"/>
      <c r="K1314" s="276" t="s">
        <v>1087</v>
      </c>
      <c r="L1314" s="33">
        <v>1</v>
      </c>
      <c r="M1314" s="181" t="s">
        <v>4007</v>
      </c>
      <c r="N1314" s="323" t="s">
        <v>654</v>
      </c>
      <c r="O1314" s="181" t="s">
        <v>662</v>
      </c>
      <c r="P1314" s="164" t="s">
        <v>4006</v>
      </c>
    </row>
    <row r="1315" s="93" customFormat="1" ht="20.1" customHeight="1" spans="1:16">
      <c r="A1315" s="154" t="s">
        <v>663</v>
      </c>
      <c r="B1315" s="261" t="s">
        <v>419</v>
      </c>
      <c r="C1315" s="262"/>
      <c r="D1315" s="262">
        <f t="shared" si="265"/>
        <v>4623</v>
      </c>
      <c r="E1315" s="262"/>
      <c r="F1315" s="262"/>
      <c r="G1315" s="262">
        <f>VLOOKUP(A1315,[1]√表四、2024年公共财政支出变动表!$A$7:$R$214,18,FALSE)</f>
        <v>0</v>
      </c>
      <c r="H1315" s="262">
        <v>4623</v>
      </c>
      <c r="I1315" s="324"/>
      <c r="J1315" s="279">
        <f t="shared" ref="J1315:J1317" si="276">ROUND(IF(C1315=0,IF(D1315=0,0,1),IF(D1315=0,-1,D1315/C1315)),4)*100</f>
        <v>100</v>
      </c>
      <c r="K1315" s="280" t="s">
        <v>1081</v>
      </c>
      <c r="L1315" s="281"/>
      <c r="M1315" s="154" t="s">
        <v>663</v>
      </c>
      <c r="N1315" s="154" t="s">
        <v>663</v>
      </c>
      <c r="O1315" s="154" t="s">
        <v>663</v>
      </c>
      <c r="P1315" s="282" t="s">
        <v>4008</v>
      </c>
    </row>
    <row r="1316" s="93" customFormat="1" ht="20.1" customHeight="1" spans="1:16">
      <c r="A1316" s="154" t="s">
        <v>664</v>
      </c>
      <c r="B1316" s="261" t="s">
        <v>420</v>
      </c>
      <c r="C1316" s="262">
        <f t="shared" ref="C1316:I1316" si="277">C1317+C1319</f>
        <v>6</v>
      </c>
      <c r="D1316" s="262">
        <f t="shared" si="265"/>
        <v>686</v>
      </c>
      <c r="E1316" s="262">
        <f t="shared" si="277"/>
        <v>0</v>
      </c>
      <c r="F1316" s="262">
        <f t="shared" si="277"/>
        <v>0</v>
      </c>
      <c r="G1316" s="262">
        <f t="shared" si="277"/>
        <v>0</v>
      </c>
      <c r="H1316" s="262">
        <f t="shared" si="277"/>
        <v>686</v>
      </c>
      <c r="I1316" s="262">
        <f t="shared" si="277"/>
        <v>0</v>
      </c>
      <c r="J1316" s="279">
        <f t="shared" si="276"/>
        <v>11433.33</v>
      </c>
      <c r="K1316" s="280" t="s">
        <v>1081</v>
      </c>
      <c r="L1316" s="281"/>
      <c r="M1316" s="154" t="s">
        <v>664</v>
      </c>
      <c r="N1316" s="154" t="s">
        <v>664</v>
      </c>
      <c r="O1316" s="154" t="s">
        <v>664</v>
      </c>
      <c r="P1316" s="282" t="s">
        <v>1624</v>
      </c>
    </row>
    <row r="1317" s="93" customFormat="1" ht="20.1" customHeight="1" spans="1:16">
      <c r="A1317" s="263" t="s">
        <v>665</v>
      </c>
      <c r="B1317" s="297" t="s">
        <v>4009</v>
      </c>
      <c r="C1317" s="265">
        <f t="shared" ref="C1317:I1317" si="278">C1318</f>
        <v>0</v>
      </c>
      <c r="D1317" s="265">
        <f t="shared" si="265"/>
        <v>686</v>
      </c>
      <c r="E1317" s="265">
        <f t="shared" si="278"/>
        <v>0</v>
      </c>
      <c r="F1317" s="265">
        <f t="shared" si="278"/>
        <v>0</v>
      </c>
      <c r="G1317" s="265">
        <f t="shared" si="278"/>
        <v>0</v>
      </c>
      <c r="H1317" s="265">
        <f t="shared" si="278"/>
        <v>686</v>
      </c>
      <c r="I1317" s="265">
        <f t="shared" si="278"/>
        <v>0</v>
      </c>
      <c r="J1317" s="298">
        <f t="shared" si="276"/>
        <v>100</v>
      </c>
      <c r="K1317" s="284" t="s">
        <v>1082</v>
      </c>
      <c r="L1317" s="285">
        <v>1</v>
      </c>
      <c r="M1317" s="263" t="s">
        <v>665</v>
      </c>
      <c r="N1317" s="263" t="s">
        <v>664</v>
      </c>
      <c r="O1317" s="263" t="s">
        <v>665</v>
      </c>
      <c r="P1317" s="286" t="s">
        <v>4010</v>
      </c>
    </row>
    <row r="1318" s="92" customFormat="1" ht="20.1" customHeight="1" spans="1:16">
      <c r="A1318" s="157" t="s">
        <v>4011</v>
      </c>
      <c r="B1318" s="36" t="s">
        <v>4012</v>
      </c>
      <c r="C1318" s="267"/>
      <c r="D1318" s="268"/>
      <c r="E1318" s="267"/>
      <c r="F1318" s="267"/>
      <c r="G1318" s="267"/>
      <c r="H1318" s="267">
        <v>686</v>
      </c>
      <c r="I1318" s="287"/>
      <c r="J1318" s="288"/>
      <c r="K1318" s="276" t="s">
        <v>1087</v>
      </c>
      <c r="L1318" s="33">
        <v>1</v>
      </c>
      <c r="M1318" s="157" t="s">
        <v>4011</v>
      </c>
      <c r="N1318" s="157"/>
      <c r="O1318" s="157" t="s">
        <v>665</v>
      </c>
      <c r="P1318" s="163" t="s">
        <v>4010</v>
      </c>
    </row>
    <row r="1319" s="93" customFormat="1" ht="20.1" customHeight="1" spans="1:16">
      <c r="A1319" s="263" t="s">
        <v>666</v>
      </c>
      <c r="B1319" s="297" t="s">
        <v>3611</v>
      </c>
      <c r="C1319" s="265">
        <f t="shared" ref="C1319:I1319" si="279">C1320</f>
        <v>6</v>
      </c>
      <c r="D1319" s="265">
        <f t="shared" ref="D1319:D1335" si="280">SUM(E1319:I1319)</f>
        <v>0</v>
      </c>
      <c r="E1319" s="265">
        <f t="shared" si="279"/>
        <v>0</v>
      </c>
      <c r="F1319" s="265">
        <f t="shared" si="279"/>
        <v>0</v>
      </c>
      <c r="G1319" s="265">
        <f t="shared" si="279"/>
        <v>0</v>
      </c>
      <c r="H1319" s="265">
        <f t="shared" si="279"/>
        <v>0</v>
      </c>
      <c r="I1319" s="265">
        <f t="shared" si="279"/>
        <v>0</v>
      </c>
      <c r="J1319" s="298">
        <f t="shared" ref="J1319:J1333" si="281">ROUND(IF(C1319=0,IF(D1319=0,0,1),IF(D1319=0,-1,D1319/C1319)),4)*100</f>
        <v>-100</v>
      </c>
      <c r="K1319" s="284" t="s">
        <v>1082</v>
      </c>
      <c r="L1319" s="285">
        <v>1</v>
      </c>
      <c r="M1319" s="263" t="s">
        <v>666</v>
      </c>
      <c r="N1319" s="263" t="s">
        <v>664</v>
      </c>
      <c r="O1319" s="263" t="s">
        <v>666</v>
      </c>
      <c r="P1319" s="286" t="s">
        <v>1624</v>
      </c>
    </row>
    <row r="1320" s="92" customFormat="1" ht="20.1" customHeight="1" spans="1:16">
      <c r="A1320" s="157" t="s">
        <v>4013</v>
      </c>
      <c r="B1320" s="269" t="s">
        <v>189</v>
      </c>
      <c r="C1320" s="267">
        <v>6</v>
      </c>
      <c r="D1320" s="267"/>
      <c r="E1320" s="267"/>
      <c r="F1320" s="267"/>
      <c r="G1320" s="267"/>
      <c r="H1320" s="267"/>
      <c r="I1320" s="267"/>
      <c r="J1320" s="159"/>
      <c r="K1320" s="276" t="s">
        <v>1087</v>
      </c>
      <c r="L1320" s="33">
        <v>1</v>
      </c>
      <c r="M1320" s="157" t="s">
        <v>4013</v>
      </c>
      <c r="N1320" s="157"/>
      <c r="O1320" s="157" t="s">
        <v>4013</v>
      </c>
      <c r="P1320" s="163" t="s">
        <v>1624</v>
      </c>
    </row>
    <row r="1321" s="93" customFormat="1" ht="20.1" customHeight="1" spans="1:16">
      <c r="A1321" s="154" t="s">
        <v>671</v>
      </c>
      <c r="B1321" s="261" t="s">
        <v>4014</v>
      </c>
      <c r="C1321" s="262">
        <f t="shared" ref="C1321:I1321" si="282">C1322</f>
        <v>0</v>
      </c>
      <c r="D1321" s="262">
        <f t="shared" si="280"/>
        <v>0</v>
      </c>
      <c r="E1321" s="262">
        <f t="shared" si="282"/>
        <v>0</v>
      </c>
      <c r="F1321" s="262">
        <f t="shared" si="282"/>
        <v>0</v>
      </c>
      <c r="G1321" s="262">
        <f t="shared" si="282"/>
        <v>0</v>
      </c>
      <c r="H1321" s="262">
        <f t="shared" si="282"/>
        <v>0</v>
      </c>
      <c r="I1321" s="262">
        <f t="shared" si="282"/>
        <v>0</v>
      </c>
      <c r="J1321" s="279">
        <f t="shared" si="281"/>
        <v>0</v>
      </c>
      <c r="K1321" s="280" t="s">
        <v>1081</v>
      </c>
      <c r="L1321" s="281"/>
      <c r="M1321" s="154" t="s">
        <v>677</v>
      </c>
      <c r="N1321" s="154" t="s">
        <v>677</v>
      </c>
      <c r="O1321" s="154" t="s">
        <v>677</v>
      </c>
      <c r="P1321" s="282" t="s">
        <v>4015</v>
      </c>
    </row>
    <row r="1322" s="93" customFormat="1" ht="20.1" customHeight="1" spans="1:16">
      <c r="A1322" s="263" t="s">
        <v>676</v>
      </c>
      <c r="B1322" s="297" t="s">
        <v>4016</v>
      </c>
      <c r="C1322" s="265">
        <f t="shared" ref="C1322:I1322" si="283">SUM(C1323:C1326)</f>
        <v>0</v>
      </c>
      <c r="D1322" s="265">
        <f t="shared" si="280"/>
        <v>0</v>
      </c>
      <c r="E1322" s="265">
        <f t="shared" si="283"/>
        <v>0</v>
      </c>
      <c r="F1322" s="265">
        <f t="shared" si="283"/>
        <v>0</v>
      </c>
      <c r="G1322" s="265">
        <f t="shared" si="283"/>
        <v>0</v>
      </c>
      <c r="H1322" s="265">
        <f t="shared" si="283"/>
        <v>0</v>
      </c>
      <c r="I1322" s="265">
        <f t="shared" si="283"/>
        <v>0</v>
      </c>
      <c r="J1322" s="298">
        <f t="shared" si="281"/>
        <v>0</v>
      </c>
      <c r="K1322" s="284" t="s">
        <v>1082</v>
      </c>
      <c r="L1322" s="285"/>
      <c r="M1322" s="263" t="s">
        <v>678</v>
      </c>
      <c r="N1322" s="263" t="s">
        <v>677</v>
      </c>
      <c r="O1322" s="263" t="s">
        <v>678</v>
      </c>
      <c r="P1322" s="286" t="s">
        <v>4017</v>
      </c>
    </row>
    <row r="1323" s="92" customFormat="1" ht="20.1" customHeight="1" spans="1:16">
      <c r="A1323" s="157" t="s">
        <v>4018</v>
      </c>
      <c r="B1323" s="36" t="s">
        <v>4019</v>
      </c>
      <c r="C1323" s="267"/>
      <c r="D1323" s="268">
        <f t="shared" si="280"/>
        <v>0</v>
      </c>
      <c r="E1323" s="267"/>
      <c r="F1323" s="267">
        <f>SUM(F1324:F1327)</f>
        <v>0</v>
      </c>
      <c r="G1323" s="267"/>
      <c r="H1323" s="267"/>
      <c r="I1323" s="287"/>
      <c r="J1323" s="288">
        <f t="shared" si="281"/>
        <v>0</v>
      </c>
      <c r="K1323" s="276" t="s">
        <v>1087</v>
      </c>
      <c r="L1323" s="33">
        <v>1</v>
      </c>
      <c r="M1323" s="157" t="s">
        <v>4020</v>
      </c>
      <c r="N1323" s="157"/>
      <c r="O1323" s="157" t="s">
        <v>678</v>
      </c>
      <c r="P1323" s="163" t="s">
        <v>4021</v>
      </c>
    </row>
    <row r="1324" s="92" customFormat="1" ht="20.1" customHeight="1" spans="1:16">
      <c r="A1324" s="157" t="s">
        <v>4022</v>
      </c>
      <c r="B1324" s="36" t="s">
        <v>4023</v>
      </c>
      <c r="C1324" s="267">
        <v>0</v>
      </c>
      <c r="D1324" s="268">
        <f t="shared" si="280"/>
        <v>0</v>
      </c>
      <c r="E1324" s="267"/>
      <c r="F1324" s="267"/>
      <c r="G1324" s="267"/>
      <c r="H1324" s="267"/>
      <c r="I1324" s="287"/>
      <c r="J1324" s="288">
        <f t="shared" si="281"/>
        <v>0</v>
      </c>
      <c r="K1324" s="276" t="s">
        <v>1087</v>
      </c>
      <c r="L1324" s="33">
        <v>1</v>
      </c>
      <c r="M1324" s="157" t="s">
        <v>4024</v>
      </c>
      <c r="N1324" s="157"/>
      <c r="O1324" s="157" t="s">
        <v>678</v>
      </c>
      <c r="P1324" s="163" t="s">
        <v>4025</v>
      </c>
    </row>
    <row r="1325" s="92" customFormat="1" ht="20.1" customHeight="1" spans="1:16">
      <c r="A1325" s="157" t="s">
        <v>4026</v>
      </c>
      <c r="B1325" s="36" t="s">
        <v>4027</v>
      </c>
      <c r="C1325" s="267">
        <v>0</v>
      </c>
      <c r="D1325" s="268">
        <f t="shared" si="280"/>
        <v>0</v>
      </c>
      <c r="E1325" s="267"/>
      <c r="F1325" s="267"/>
      <c r="G1325" s="267"/>
      <c r="H1325" s="267"/>
      <c r="I1325" s="287"/>
      <c r="J1325" s="288">
        <f t="shared" si="281"/>
        <v>0</v>
      </c>
      <c r="K1325" s="276" t="s">
        <v>1087</v>
      </c>
      <c r="L1325" s="33">
        <v>1</v>
      </c>
      <c r="M1325" s="157" t="s">
        <v>4028</v>
      </c>
      <c r="N1325" s="157"/>
      <c r="O1325" s="157" t="s">
        <v>678</v>
      </c>
      <c r="P1325" s="163" t="s">
        <v>4029</v>
      </c>
    </row>
    <row r="1326" s="92" customFormat="1" ht="20.1" customHeight="1" spans="1:16">
      <c r="A1326" s="157" t="s">
        <v>4030</v>
      </c>
      <c r="B1326" s="36" t="s">
        <v>4031</v>
      </c>
      <c r="C1326" s="267"/>
      <c r="D1326" s="268">
        <f t="shared" si="280"/>
        <v>0</v>
      </c>
      <c r="E1326" s="267"/>
      <c r="F1326" s="267"/>
      <c r="G1326" s="267"/>
      <c r="H1326" s="267"/>
      <c r="I1326" s="287"/>
      <c r="J1326" s="288">
        <f t="shared" si="281"/>
        <v>0</v>
      </c>
      <c r="K1326" s="276" t="s">
        <v>1087</v>
      </c>
      <c r="L1326" s="33">
        <v>1</v>
      </c>
      <c r="M1326" s="157" t="s">
        <v>4032</v>
      </c>
      <c r="N1326" s="157"/>
      <c r="O1326" s="157" t="s">
        <v>678</v>
      </c>
      <c r="P1326" s="163" t="s">
        <v>4033</v>
      </c>
    </row>
    <row r="1327" s="93" customFormat="1" ht="20.1" customHeight="1" spans="1:16">
      <c r="A1327" s="154" t="s">
        <v>677</v>
      </c>
      <c r="B1327" s="261" t="s">
        <v>4034</v>
      </c>
      <c r="C1327" s="262">
        <f t="shared" ref="C1327:I1327" si="284">C1328</f>
        <v>6554</v>
      </c>
      <c r="D1327" s="262">
        <f t="shared" si="280"/>
        <v>5977</v>
      </c>
      <c r="E1327" s="262">
        <f t="shared" si="284"/>
        <v>0</v>
      </c>
      <c r="F1327" s="262">
        <f t="shared" si="284"/>
        <v>0</v>
      </c>
      <c r="G1327" s="262">
        <f t="shared" si="284"/>
        <v>0</v>
      </c>
      <c r="H1327" s="262">
        <f t="shared" si="284"/>
        <v>5977</v>
      </c>
      <c r="I1327" s="262">
        <f t="shared" si="284"/>
        <v>0</v>
      </c>
      <c r="J1327" s="279">
        <f t="shared" si="281"/>
        <v>91.2</v>
      </c>
      <c r="K1327" s="280" t="s">
        <v>1081</v>
      </c>
      <c r="L1327" s="281"/>
      <c r="M1327" s="154" t="s">
        <v>677</v>
      </c>
      <c r="N1327" s="154" t="s">
        <v>677</v>
      </c>
      <c r="O1327" s="154" t="s">
        <v>677</v>
      </c>
      <c r="P1327" s="282" t="s">
        <v>4015</v>
      </c>
    </row>
    <row r="1328" s="93" customFormat="1" ht="20.1" customHeight="1" spans="1:16">
      <c r="A1328" s="263" t="s">
        <v>678</v>
      </c>
      <c r="B1328" s="297" t="s">
        <v>4035</v>
      </c>
      <c r="C1328" s="265">
        <f t="shared" ref="C1328:I1328" si="285">SUM(C1329:C1332)</f>
        <v>6554</v>
      </c>
      <c r="D1328" s="265">
        <f t="shared" si="280"/>
        <v>5977</v>
      </c>
      <c r="E1328" s="265">
        <f t="shared" si="285"/>
        <v>0</v>
      </c>
      <c r="F1328" s="265">
        <f t="shared" si="285"/>
        <v>0</v>
      </c>
      <c r="G1328" s="265">
        <f t="shared" si="285"/>
        <v>0</v>
      </c>
      <c r="H1328" s="265">
        <f t="shared" si="285"/>
        <v>5977</v>
      </c>
      <c r="I1328" s="265">
        <f t="shared" si="285"/>
        <v>0</v>
      </c>
      <c r="J1328" s="298">
        <f t="shared" si="281"/>
        <v>91.2</v>
      </c>
      <c r="K1328" s="284" t="s">
        <v>1082</v>
      </c>
      <c r="L1328" s="285"/>
      <c r="M1328" s="263" t="s">
        <v>678</v>
      </c>
      <c r="N1328" s="263" t="s">
        <v>677</v>
      </c>
      <c r="O1328" s="263" t="s">
        <v>678</v>
      </c>
      <c r="P1328" s="286" t="s">
        <v>4017</v>
      </c>
    </row>
    <row r="1329" s="92" customFormat="1" ht="20.1" customHeight="1" spans="1:16">
      <c r="A1329" s="157" t="s">
        <v>4020</v>
      </c>
      <c r="B1329" s="36" t="s">
        <v>4036</v>
      </c>
      <c r="C1329" s="267">
        <v>6554</v>
      </c>
      <c r="D1329" s="268">
        <f t="shared" si="280"/>
        <v>5977</v>
      </c>
      <c r="E1329" s="267"/>
      <c r="F1329" s="267">
        <f>SUM(F1330:F1333)</f>
        <v>0</v>
      </c>
      <c r="G1329" s="267"/>
      <c r="H1329" s="267">
        <v>5977</v>
      </c>
      <c r="I1329" s="287"/>
      <c r="J1329" s="288">
        <f t="shared" si="281"/>
        <v>91.2</v>
      </c>
      <c r="K1329" s="276" t="s">
        <v>1087</v>
      </c>
      <c r="L1329" s="33">
        <v>1</v>
      </c>
      <c r="M1329" s="157" t="s">
        <v>4020</v>
      </c>
      <c r="N1329" s="157"/>
      <c r="O1329" s="157" t="s">
        <v>678</v>
      </c>
      <c r="P1329" s="163" t="s">
        <v>4021</v>
      </c>
    </row>
    <row r="1330" s="92" customFormat="1" ht="20.1" customHeight="1" spans="1:16">
      <c r="A1330" s="157" t="s">
        <v>4024</v>
      </c>
      <c r="B1330" s="36" t="s">
        <v>4037</v>
      </c>
      <c r="C1330" s="267">
        <v>0</v>
      </c>
      <c r="D1330" s="268">
        <f t="shared" si="280"/>
        <v>0</v>
      </c>
      <c r="E1330" s="267"/>
      <c r="F1330" s="267"/>
      <c r="G1330" s="267"/>
      <c r="H1330" s="267"/>
      <c r="I1330" s="287"/>
      <c r="J1330" s="288">
        <f t="shared" si="281"/>
        <v>0</v>
      </c>
      <c r="K1330" s="276" t="s">
        <v>1087</v>
      </c>
      <c r="L1330" s="33">
        <v>1</v>
      </c>
      <c r="M1330" s="157" t="s">
        <v>4024</v>
      </c>
      <c r="N1330" s="157"/>
      <c r="O1330" s="157" t="s">
        <v>678</v>
      </c>
      <c r="P1330" s="163" t="s">
        <v>4025</v>
      </c>
    </row>
    <row r="1331" s="92" customFormat="1" ht="20.1" customHeight="1" spans="1:16">
      <c r="A1331" s="157" t="s">
        <v>4028</v>
      </c>
      <c r="B1331" s="36" t="s">
        <v>4038</v>
      </c>
      <c r="C1331" s="267">
        <v>0</v>
      </c>
      <c r="D1331" s="268">
        <f t="shared" si="280"/>
        <v>0</v>
      </c>
      <c r="E1331" s="267"/>
      <c r="F1331" s="267"/>
      <c r="G1331" s="267"/>
      <c r="H1331" s="267"/>
      <c r="I1331" s="287"/>
      <c r="J1331" s="288">
        <f t="shared" si="281"/>
        <v>0</v>
      </c>
      <c r="K1331" s="276" t="s">
        <v>1087</v>
      </c>
      <c r="L1331" s="33">
        <v>1</v>
      </c>
      <c r="M1331" s="157" t="s">
        <v>4028</v>
      </c>
      <c r="N1331" s="157"/>
      <c r="O1331" s="157" t="s">
        <v>678</v>
      </c>
      <c r="P1331" s="163" t="s">
        <v>4029</v>
      </c>
    </row>
    <row r="1332" s="92" customFormat="1" ht="20.1" customHeight="1" spans="1:16">
      <c r="A1332" s="157" t="s">
        <v>4032</v>
      </c>
      <c r="B1332" s="36" t="s">
        <v>4039</v>
      </c>
      <c r="C1332" s="267"/>
      <c r="D1332" s="268">
        <f t="shared" si="280"/>
        <v>0</v>
      </c>
      <c r="E1332" s="267"/>
      <c r="F1332" s="267"/>
      <c r="G1332" s="267"/>
      <c r="H1332" s="267"/>
      <c r="I1332" s="287"/>
      <c r="J1332" s="288">
        <f t="shared" si="281"/>
        <v>0</v>
      </c>
      <c r="K1332" s="276" t="s">
        <v>1087</v>
      </c>
      <c r="L1332" s="33">
        <v>1</v>
      </c>
      <c r="M1332" s="157" t="s">
        <v>4032</v>
      </c>
      <c r="N1332" s="157"/>
      <c r="O1332" s="157" t="s">
        <v>678</v>
      </c>
      <c r="P1332" s="163" t="s">
        <v>4033</v>
      </c>
    </row>
    <row r="1333" s="93" customFormat="1" ht="20.1" customHeight="1" spans="1:16">
      <c r="A1333" s="154" t="s">
        <v>680</v>
      </c>
      <c r="B1333" s="261" t="s">
        <v>4040</v>
      </c>
      <c r="C1333" s="262">
        <f t="shared" ref="C1333:I1333" si="286">C1334</f>
        <v>17</v>
      </c>
      <c r="D1333" s="262">
        <f t="shared" si="280"/>
        <v>0</v>
      </c>
      <c r="E1333" s="262">
        <f t="shared" si="286"/>
        <v>0</v>
      </c>
      <c r="F1333" s="262">
        <f t="shared" si="286"/>
        <v>0</v>
      </c>
      <c r="G1333" s="262">
        <f t="shared" si="286"/>
        <v>0</v>
      </c>
      <c r="H1333" s="262">
        <f t="shared" si="286"/>
        <v>0</v>
      </c>
      <c r="I1333" s="262">
        <f t="shared" si="286"/>
        <v>0</v>
      </c>
      <c r="J1333" s="279">
        <f t="shared" si="281"/>
        <v>-100</v>
      </c>
      <c r="K1333" s="280" t="s">
        <v>1081</v>
      </c>
      <c r="L1333" s="281"/>
      <c r="M1333" s="154" t="s">
        <v>680</v>
      </c>
      <c r="N1333" s="154" t="s">
        <v>680</v>
      </c>
      <c r="O1333" s="154" t="s">
        <v>680</v>
      </c>
      <c r="P1333" s="282" t="s">
        <v>4041</v>
      </c>
    </row>
    <row r="1334" s="93" customFormat="1" ht="20.1" customHeight="1" spans="1:16">
      <c r="A1334" s="263" t="s">
        <v>681</v>
      </c>
      <c r="B1334" s="297" t="s">
        <v>4042</v>
      </c>
      <c r="C1334" s="265">
        <f t="shared" ref="C1334:J1334" si="287">C1335</f>
        <v>17</v>
      </c>
      <c r="D1334" s="265">
        <f t="shared" si="280"/>
        <v>0</v>
      </c>
      <c r="E1334" s="265">
        <f t="shared" si="287"/>
        <v>0</v>
      </c>
      <c r="F1334" s="265">
        <f t="shared" si="287"/>
        <v>0</v>
      </c>
      <c r="G1334" s="265">
        <f t="shared" si="287"/>
        <v>0</v>
      </c>
      <c r="H1334" s="265">
        <f t="shared" si="287"/>
        <v>0</v>
      </c>
      <c r="I1334" s="265">
        <f t="shared" si="287"/>
        <v>0</v>
      </c>
      <c r="J1334" s="298">
        <f t="shared" si="287"/>
        <v>0</v>
      </c>
      <c r="K1334" s="284" t="s">
        <v>1082</v>
      </c>
      <c r="L1334" s="285">
        <v>1</v>
      </c>
      <c r="M1334" s="263" t="s">
        <v>681</v>
      </c>
      <c r="N1334" s="263" t="s">
        <v>680</v>
      </c>
      <c r="O1334" s="263" t="s">
        <v>681</v>
      </c>
      <c r="P1334" s="286" t="s">
        <v>4043</v>
      </c>
    </row>
    <row r="1335" s="92" customFormat="1" ht="20.1" customHeight="1" spans="1:16">
      <c r="A1335" s="183" t="s">
        <v>4044</v>
      </c>
      <c r="B1335" s="36" t="s">
        <v>432</v>
      </c>
      <c r="C1335" s="267">
        <v>17</v>
      </c>
      <c r="D1335" s="267">
        <f t="shared" si="280"/>
        <v>0</v>
      </c>
      <c r="E1335" s="267"/>
      <c r="F1335" s="267"/>
      <c r="G1335" s="267"/>
      <c r="H1335" s="267"/>
      <c r="I1335" s="325"/>
      <c r="J1335" s="159"/>
      <c r="K1335" s="276" t="s">
        <v>1087</v>
      </c>
      <c r="L1335" s="33">
        <v>1</v>
      </c>
      <c r="M1335" s="157" t="s">
        <v>4044</v>
      </c>
      <c r="N1335" s="157"/>
      <c r="O1335" s="157" t="s">
        <v>681</v>
      </c>
      <c r="P1335" s="163" t="s">
        <v>4043</v>
      </c>
    </row>
    <row r="1336" s="92" customFormat="1" ht="20.1" customHeight="1" spans="1:16">
      <c r="A1336" s="183"/>
      <c r="B1336" s="36"/>
      <c r="C1336" s="267"/>
      <c r="D1336" s="267"/>
      <c r="E1336" s="267"/>
      <c r="F1336" s="267"/>
      <c r="G1336" s="267"/>
      <c r="H1336" s="267"/>
      <c r="I1336" s="325"/>
      <c r="J1336" s="159"/>
      <c r="K1336" s="276"/>
      <c r="L1336" s="33"/>
      <c r="M1336" s="157"/>
      <c r="N1336" s="157"/>
      <c r="O1336" s="157"/>
      <c r="P1336" s="163"/>
    </row>
    <row r="1337" s="92" customFormat="1" ht="20.1" customHeight="1" spans="1:16">
      <c r="A1337" s="183"/>
      <c r="B1337" s="123" t="s">
        <v>433</v>
      </c>
      <c r="C1337" s="267">
        <f t="shared" ref="C1337:I1337" si="288">C4+C252+C292+C311+C401+C453+C509+C565+C695+C778+C850+C873+C980+C1032+C1096+C1116+C1146+C1156+C1201+C1220+C1265+C1315+C1316+C1327+C1333+C1321</f>
        <v>327347</v>
      </c>
      <c r="D1337" s="267">
        <f t="shared" si="288"/>
        <v>365680</v>
      </c>
      <c r="E1337" s="267">
        <f t="shared" si="288"/>
        <v>75116</v>
      </c>
      <c r="F1337" s="267">
        <f t="shared" si="288"/>
        <v>1373</v>
      </c>
      <c r="G1337" s="267">
        <f t="shared" si="288"/>
        <v>102871</v>
      </c>
      <c r="H1337" s="267">
        <f t="shared" si="288"/>
        <v>17187</v>
      </c>
      <c r="I1337" s="267">
        <f t="shared" si="288"/>
        <v>169133</v>
      </c>
      <c r="J1337" s="288">
        <f>ROUND(IF(C1337=0,IF(D1337=0,0,1),IF(D1337=0,-1,D1337/C1337)),4)*100</f>
        <v>111.71</v>
      </c>
      <c r="K1337" s="276"/>
      <c r="L1337" s="33"/>
      <c r="M1337" s="157"/>
      <c r="N1337" s="157"/>
      <c r="O1337" s="157"/>
      <c r="P1337" s="163"/>
    </row>
    <row r="1338" ht="20.1" customHeight="1"/>
    <row r="1339" s="125" customFormat="1" hidden="1" spans="1:16">
      <c r="A1339" s="254"/>
      <c r="D1339" s="255"/>
      <c r="E1339" s="255"/>
      <c r="F1339" s="255"/>
      <c r="G1339" s="255"/>
      <c r="H1339" s="255">
        <v>1620</v>
      </c>
      <c r="I1339" s="57"/>
      <c r="K1339" s="147"/>
      <c r="L1339" s="147"/>
      <c r="M1339" s="254"/>
      <c r="N1339" s="254"/>
      <c r="O1339" s="254"/>
      <c r="P1339" s="256"/>
    </row>
    <row r="1340" s="125" customFormat="1" hidden="1" spans="1:16">
      <c r="A1340" s="254"/>
      <c r="D1340" s="255"/>
      <c r="E1340" s="255"/>
      <c r="F1340" s="255"/>
      <c r="G1340" s="255"/>
      <c r="H1340" s="255">
        <f>SUM(H1337:H1339)</f>
        <v>18807</v>
      </c>
      <c r="I1340" s="57"/>
      <c r="K1340" s="147"/>
      <c r="L1340" s="147"/>
      <c r="M1340" s="254"/>
      <c r="N1340" s="254"/>
      <c r="O1340" s="254"/>
      <c r="P1340" s="256"/>
    </row>
    <row r="1341" hidden="1"/>
    <row r="1342" hidden="1"/>
  </sheetData>
  <mergeCells count="2">
    <mergeCell ref="A1:J1"/>
    <mergeCell ref="Q952:Q954"/>
  </mergeCells>
  <dataValidations count="1">
    <dataValidation type="decimal" operator="between" allowBlank="1" showInputMessage="1" showErrorMessage="1" sqref="C969:C972 C1267:C1276 C1310:C1312">
      <formula1>-99999999999999</formula1>
      <formula2>99999999999999</formula2>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SheetLayoutView="60" workbookViewId="0">
      <selection activeCell="B11" sqref="B11"/>
    </sheetView>
  </sheetViews>
  <sheetFormatPr defaultColWidth="9" defaultRowHeight="15"/>
  <cols>
    <col min="1" max="1" width="12.5" style="240" customWidth="1"/>
    <col min="2" max="2" width="24" style="240" customWidth="1"/>
    <col min="3" max="4" width="14.25" style="240" customWidth="1"/>
    <col min="5" max="5" width="16.125" style="240" customWidth="1"/>
    <col min="6" max="16384" width="9" style="240"/>
  </cols>
  <sheetData>
    <row r="1" s="240" customFormat="1" ht="36.75" customHeight="1" spans="1:5">
      <c r="A1" s="638" t="s">
        <v>4046</v>
      </c>
      <c r="B1" s="241"/>
      <c r="C1" s="241"/>
      <c r="D1" s="241"/>
      <c r="E1" s="241"/>
    </row>
    <row r="2" s="240" customFormat="1" ht="18" customHeight="1" spans="1:5">
      <c r="A2" s="91"/>
      <c r="B2" s="91"/>
      <c r="C2" s="91"/>
      <c r="D2" s="91"/>
      <c r="E2" s="251" t="s">
        <v>51</v>
      </c>
    </row>
    <row r="3" s="240" customFormat="1" ht="37.5" customHeight="1" spans="1:5">
      <c r="A3" s="242" t="s">
        <v>435</v>
      </c>
      <c r="B3" s="242" t="s">
        <v>436</v>
      </c>
      <c r="C3" s="242" t="s">
        <v>959</v>
      </c>
      <c r="D3" s="242" t="s">
        <v>4047</v>
      </c>
      <c r="E3" s="242" t="s">
        <v>4048</v>
      </c>
    </row>
    <row r="4" s="92" customFormat="1" ht="23.25" customHeight="1" spans="1:5">
      <c r="A4" s="243"/>
      <c r="B4" s="244" t="s">
        <v>959</v>
      </c>
      <c r="C4" s="245">
        <f t="shared" ref="C4:C61" si="0">D4+E4</f>
        <v>365680</v>
      </c>
      <c r="D4" s="245">
        <f>D5+D10+D20+D31+D35+D42+D51+D26+D55+D57+D48+D53+D38+D60</f>
        <v>133410</v>
      </c>
      <c r="E4" s="245">
        <f>E5+E10+E20+E31+E35+E42+E51+E26+E55+E57+E48+E53+E38+E60</f>
        <v>232270</v>
      </c>
    </row>
    <row r="5" s="92" customFormat="1" ht="23.25" customHeight="1" spans="1:5">
      <c r="A5" s="246" t="s">
        <v>4049</v>
      </c>
      <c r="B5" s="246" t="s">
        <v>4050</v>
      </c>
      <c r="C5" s="245">
        <f t="shared" si="0"/>
        <v>48495</v>
      </c>
      <c r="D5" s="245">
        <f>SUM(D6:D9)</f>
        <v>35087</v>
      </c>
      <c r="E5" s="245">
        <f>SUM(E6:E9)</f>
        <v>13408</v>
      </c>
    </row>
    <row r="6" s="92" customFormat="1" ht="23.25" customHeight="1" spans="1:5">
      <c r="A6" s="247" t="s">
        <v>4051</v>
      </c>
      <c r="B6" s="247" t="s">
        <v>4052</v>
      </c>
      <c r="C6" s="245">
        <f t="shared" si="0"/>
        <v>23821</v>
      </c>
      <c r="D6" s="248">
        <f>21571+2000</f>
        <v>23571</v>
      </c>
      <c r="E6" s="248">
        <f>250</f>
        <v>250</v>
      </c>
    </row>
    <row r="7" s="92" customFormat="1" ht="23.25" customHeight="1" spans="1:5">
      <c r="A7" s="247" t="s">
        <v>4053</v>
      </c>
      <c r="B7" s="247" t="s">
        <v>4054</v>
      </c>
      <c r="C7" s="245">
        <f t="shared" si="0"/>
        <v>14806</v>
      </c>
      <c r="D7" s="248">
        <v>7641</v>
      </c>
      <c r="E7" s="248">
        <v>7165</v>
      </c>
    </row>
    <row r="8" s="92" customFormat="1" ht="23.25" customHeight="1" spans="1:5">
      <c r="A8" s="247" t="s">
        <v>4055</v>
      </c>
      <c r="B8" s="247" t="s">
        <v>3760</v>
      </c>
      <c r="C8" s="245">
        <f t="shared" si="0"/>
        <v>2828</v>
      </c>
      <c r="D8" s="248">
        <v>2770</v>
      </c>
      <c r="E8" s="248">
        <v>58</v>
      </c>
    </row>
    <row r="9" s="92" customFormat="1" ht="23.25" customHeight="1" spans="1:5">
      <c r="A9" s="247" t="s">
        <v>4056</v>
      </c>
      <c r="B9" s="247" t="s">
        <v>4057</v>
      </c>
      <c r="C9" s="245">
        <f t="shared" si="0"/>
        <v>7040</v>
      </c>
      <c r="D9" s="248">
        <v>1105</v>
      </c>
      <c r="E9" s="248">
        <f>5827+108</f>
        <v>5935</v>
      </c>
    </row>
    <row r="10" s="92" customFormat="1" ht="23.25" customHeight="1" spans="1:5">
      <c r="A10" s="246" t="s">
        <v>4058</v>
      </c>
      <c r="B10" s="246" t="s">
        <v>4059</v>
      </c>
      <c r="C10" s="245">
        <f t="shared" si="0"/>
        <v>12354</v>
      </c>
      <c r="D10" s="245">
        <f>SUM(D11:D19)</f>
        <v>6415</v>
      </c>
      <c r="E10" s="245">
        <f>SUM(E11:E19)</f>
        <v>5939</v>
      </c>
    </row>
    <row r="11" s="92" customFormat="1" ht="23.25" customHeight="1" spans="1:5">
      <c r="A11" s="247" t="s">
        <v>4060</v>
      </c>
      <c r="B11" s="247" t="s">
        <v>4061</v>
      </c>
      <c r="C11" s="245">
        <f t="shared" si="0"/>
        <v>5865</v>
      </c>
      <c r="D11" s="248">
        <v>4459</v>
      </c>
      <c r="E11" s="248">
        <f>1160+114+425+308-601</f>
        <v>1406</v>
      </c>
    </row>
    <row r="12" s="92" customFormat="1" ht="23.25" customHeight="1" spans="1:10">
      <c r="A12" s="247" t="s">
        <v>4062</v>
      </c>
      <c r="B12" s="249" t="s">
        <v>4063</v>
      </c>
      <c r="C12" s="245">
        <f t="shared" si="0"/>
        <v>256</v>
      </c>
      <c r="D12" s="248">
        <v>49</v>
      </c>
      <c r="E12" s="248">
        <f>114+93</f>
        <v>207</v>
      </c>
      <c r="H12" s="250"/>
      <c r="I12" s="177"/>
      <c r="J12" s="177"/>
    </row>
    <row r="13" s="92" customFormat="1" ht="23.25" customHeight="1" spans="1:10">
      <c r="A13" s="247" t="s">
        <v>4064</v>
      </c>
      <c r="B13" s="249" t="s">
        <v>4065</v>
      </c>
      <c r="C13" s="245">
        <f t="shared" si="0"/>
        <v>861</v>
      </c>
      <c r="D13" s="248">
        <v>44</v>
      </c>
      <c r="E13" s="248">
        <f>419+85+313</f>
        <v>817</v>
      </c>
      <c r="H13" s="250"/>
      <c r="I13" s="177"/>
      <c r="J13" s="177"/>
    </row>
    <row r="14" s="92" customFormat="1" ht="23.25" customHeight="1" spans="1:10">
      <c r="A14" s="247" t="s">
        <v>4066</v>
      </c>
      <c r="B14" s="247" t="s">
        <v>4067</v>
      </c>
      <c r="C14" s="245">
        <f t="shared" si="0"/>
        <v>269</v>
      </c>
      <c r="D14" s="248"/>
      <c r="E14" s="248">
        <f>227+42</f>
        <v>269</v>
      </c>
      <c r="H14" s="250"/>
      <c r="I14" s="177"/>
      <c r="J14" s="177"/>
    </row>
    <row r="15" s="92" customFormat="1" ht="23.25" customHeight="1" spans="1:10">
      <c r="A15" s="247" t="s">
        <v>4068</v>
      </c>
      <c r="B15" s="247" t="s">
        <v>4069</v>
      </c>
      <c r="C15" s="245">
        <f t="shared" si="0"/>
        <v>2391</v>
      </c>
      <c r="D15" s="248">
        <v>249</v>
      </c>
      <c r="E15" s="248">
        <f>2079+63</f>
        <v>2142</v>
      </c>
      <c r="H15" s="250"/>
      <c r="I15" s="177"/>
      <c r="J15" s="177"/>
    </row>
    <row r="16" s="92" customFormat="1" ht="23.25" customHeight="1" spans="1:10">
      <c r="A16" s="247" t="s">
        <v>4070</v>
      </c>
      <c r="B16" s="249" t="s">
        <v>1043</v>
      </c>
      <c r="C16" s="245">
        <f t="shared" si="0"/>
        <v>218</v>
      </c>
      <c r="D16" s="248">
        <v>65</v>
      </c>
      <c r="E16" s="248">
        <f>110+43</f>
        <v>153</v>
      </c>
      <c r="H16" s="250"/>
      <c r="I16" s="177"/>
      <c r="J16" s="177"/>
    </row>
    <row r="17" s="92" customFormat="1" ht="23.25" customHeight="1" spans="1:10">
      <c r="A17" s="247" t="s">
        <v>4071</v>
      </c>
      <c r="B17" s="249" t="s">
        <v>1046</v>
      </c>
      <c r="C17" s="245">
        <f t="shared" si="0"/>
        <v>513</v>
      </c>
      <c r="D17" s="248">
        <v>349</v>
      </c>
      <c r="E17" s="248">
        <f>12+152</f>
        <v>164</v>
      </c>
      <c r="H17" s="250"/>
      <c r="I17" s="177"/>
      <c r="J17" s="177"/>
    </row>
    <row r="18" s="92" customFormat="1" ht="23.25" customHeight="1" spans="1:5">
      <c r="A18" s="247" t="s">
        <v>4072</v>
      </c>
      <c r="B18" s="247" t="s">
        <v>4073</v>
      </c>
      <c r="C18" s="245">
        <f t="shared" si="0"/>
        <v>274</v>
      </c>
      <c r="D18" s="248">
        <v>93</v>
      </c>
      <c r="E18" s="248">
        <v>181</v>
      </c>
    </row>
    <row r="19" s="92" customFormat="1" ht="23.25" customHeight="1" spans="1:5">
      <c r="A19" s="247" t="s">
        <v>4074</v>
      </c>
      <c r="B19" s="247" t="s">
        <v>4075</v>
      </c>
      <c r="C19" s="245">
        <f t="shared" si="0"/>
        <v>1707</v>
      </c>
      <c r="D19" s="248">
        <v>1107</v>
      </c>
      <c r="E19" s="248">
        <f>543+57</f>
        <v>600</v>
      </c>
    </row>
    <row r="20" s="92" customFormat="1" ht="23.25" customHeight="1" spans="1:5">
      <c r="A20" s="246" t="s">
        <v>4076</v>
      </c>
      <c r="B20" s="246" t="s">
        <v>4077</v>
      </c>
      <c r="C20" s="245">
        <f t="shared" si="0"/>
        <v>140781</v>
      </c>
      <c r="D20" s="245">
        <f>SUM(D21:D25)</f>
        <v>15</v>
      </c>
      <c r="E20" s="245">
        <f>SUM(E21:E25)</f>
        <v>140766</v>
      </c>
    </row>
    <row r="21" s="92" customFormat="1" ht="23.25" customHeight="1" spans="1:5">
      <c r="A21" s="247" t="s">
        <v>4078</v>
      </c>
      <c r="B21" s="247" t="s">
        <v>4079</v>
      </c>
      <c r="C21" s="245">
        <f t="shared" si="0"/>
        <v>1444</v>
      </c>
      <c r="D21" s="248"/>
      <c r="E21" s="248">
        <v>1444</v>
      </c>
    </row>
    <row r="22" s="92" customFormat="1" ht="23.25" customHeight="1" spans="1:5">
      <c r="A22" s="247" t="s">
        <v>4080</v>
      </c>
      <c r="B22" s="247" t="s">
        <v>4081</v>
      </c>
      <c r="C22" s="245">
        <f t="shared" si="0"/>
        <v>52622</v>
      </c>
      <c r="D22" s="248"/>
      <c r="E22" s="248">
        <f>205+1112+37223+903+2019+11160</f>
        <v>52622</v>
      </c>
    </row>
    <row r="23" s="92" customFormat="1" ht="23.25" customHeight="1" spans="1:5">
      <c r="A23" s="247" t="s">
        <v>4082</v>
      </c>
      <c r="B23" s="247" t="s">
        <v>4083</v>
      </c>
      <c r="C23" s="245">
        <f t="shared" si="0"/>
        <v>1901</v>
      </c>
      <c r="D23" s="248">
        <v>15</v>
      </c>
      <c r="E23" s="248">
        <f>1792+94</f>
        <v>1886</v>
      </c>
    </row>
    <row r="24" s="92" customFormat="1" ht="23.25" customHeight="1" spans="1:5">
      <c r="A24" s="247" t="s">
        <v>4084</v>
      </c>
      <c r="B24" s="247" t="s">
        <v>4085</v>
      </c>
      <c r="C24" s="245">
        <f t="shared" si="0"/>
        <v>0</v>
      </c>
      <c r="D24" s="248"/>
      <c r="E24" s="248"/>
    </row>
    <row r="25" s="92" customFormat="1" ht="23.25" customHeight="1" spans="1:5">
      <c r="A25" s="247" t="s">
        <v>4086</v>
      </c>
      <c r="B25" s="247" t="s">
        <v>4087</v>
      </c>
      <c r="C25" s="245">
        <f t="shared" si="0"/>
        <v>84814</v>
      </c>
      <c r="D25" s="248"/>
      <c r="E25" s="248">
        <f>1032+20+4349+1173+3123+8786+3487+3380+2236+40000+1850+64+14561+753</f>
        <v>84814</v>
      </c>
    </row>
    <row r="26" s="92" customFormat="1" ht="23.25" customHeight="1" spans="1:5">
      <c r="A26" s="246">
        <v>504</v>
      </c>
      <c r="B26" s="246" t="s">
        <v>4088</v>
      </c>
      <c r="C26" s="245">
        <f t="shared" si="0"/>
        <v>263</v>
      </c>
      <c r="D26" s="245">
        <f>SUM(D27:D30)</f>
        <v>0</v>
      </c>
      <c r="E26" s="245">
        <f>SUM(E27:E30)</f>
        <v>263</v>
      </c>
    </row>
    <row r="27" s="92" customFormat="1" ht="23.25" customHeight="1" spans="1:5">
      <c r="A27" s="247" t="s">
        <v>4089</v>
      </c>
      <c r="B27" s="247" t="s">
        <v>4079</v>
      </c>
      <c r="C27" s="245">
        <f t="shared" si="0"/>
        <v>0</v>
      </c>
      <c r="D27" s="248"/>
      <c r="E27" s="248"/>
    </row>
    <row r="28" s="92" customFormat="1" ht="23.25" customHeight="1" spans="1:5">
      <c r="A28" s="247" t="s">
        <v>4090</v>
      </c>
      <c r="B28" s="247" t="s">
        <v>4081</v>
      </c>
      <c r="C28" s="245">
        <f t="shared" si="0"/>
        <v>55</v>
      </c>
      <c r="D28" s="248"/>
      <c r="E28" s="248">
        <v>55</v>
      </c>
    </row>
    <row r="29" s="92" customFormat="1" ht="23.25" customHeight="1" spans="1:5">
      <c r="A29" s="247" t="s">
        <v>4091</v>
      </c>
      <c r="B29" s="247" t="s">
        <v>4083</v>
      </c>
      <c r="C29" s="245">
        <f t="shared" si="0"/>
        <v>153</v>
      </c>
      <c r="D29" s="248"/>
      <c r="E29" s="248">
        <v>153</v>
      </c>
    </row>
    <row r="30" s="92" customFormat="1" ht="23.25" customHeight="1" spans="1:5">
      <c r="A30" s="247" t="s">
        <v>4092</v>
      </c>
      <c r="B30" s="247" t="s">
        <v>4087</v>
      </c>
      <c r="C30" s="245">
        <f t="shared" si="0"/>
        <v>55</v>
      </c>
      <c r="D30" s="248"/>
      <c r="E30" s="248">
        <v>55</v>
      </c>
    </row>
    <row r="31" s="92" customFormat="1" ht="23.25" customHeight="1" spans="1:5">
      <c r="A31" s="246" t="s">
        <v>4093</v>
      </c>
      <c r="B31" s="246" t="s">
        <v>4094</v>
      </c>
      <c r="C31" s="245">
        <f t="shared" si="0"/>
        <v>87281</v>
      </c>
      <c r="D31" s="245">
        <f>SUM(D32:D34)</f>
        <v>80605</v>
      </c>
      <c r="E31" s="245">
        <f>SUM(E32:E34)</f>
        <v>6676</v>
      </c>
    </row>
    <row r="32" s="92" customFormat="1" ht="23.25" customHeight="1" spans="1:5">
      <c r="A32" s="247" t="s">
        <v>4095</v>
      </c>
      <c r="B32" s="247" t="s">
        <v>4096</v>
      </c>
      <c r="C32" s="245">
        <f t="shared" si="0"/>
        <v>78445</v>
      </c>
      <c r="D32" s="248">
        <v>75339</v>
      </c>
      <c r="E32" s="248">
        <v>3106</v>
      </c>
    </row>
    <row r="33" s="92" customFormat="1" ht="23.25" customHeight="1" spans="1:5">
      <c r="A33" s="247" t="s">
        <v>4097</v>
      </c>
      <c r="B33" s="247" t="s">
        <v>4098</v>
      </c>
      <c r="C33" s="245">
        <f t="shared" si="0"/>
        <v>8836</v>
      </c>
      <c r="D33" s="248">
        <v>5266</v>
      </c>
      <c r="E33" s="248">
        <v>3570</v>
      </c>
    </row>
    <row r="34" s="92" customFormat="1" ht="23.25" customHeight="1" spans="1:5">
      <c r="A34" s="247">
        <v>50599</v>
      </c>
      <c r="B34" s="247" t="s">
        <v>4099</v>
      </c>
      <c r="C34" s="245">
        <f t="shared" si="0"/>
        <v>0</v>
      </c>
      <c r="D34" s="248"/>
      <c r="E34" s="248"/>
    </row>
    <row r="35" s="92" customFormat="1" ht="23.25" customHeight="1" spans="1:5">
      <c r="A35" s="246" t="s">
        <v>4100</v>
      </c>
      <c r="B35" s="246" t="s">
        <v>4101</v>
      </c>
      <c r="C35" s="245">
        <f t="shared" si="0"/>
        <v>2200</v>
      </c>
      <c r="D35" s="245">
        <f>SUM(D36:D37)</f>
        <v>65</v>
      </c>
      <c r="E35" s="245">
        <f>SUM(E36:E37)</f>
        <v>2135</v>
      </c>
    </row>
    <row r="36" s="92" customFormat="1" ht="23.25" customHeight="1" spans="1:5">
      <c r="A36" s="247" t="s">
        <v>4102</v>
      </c>
      <c r="B36" s="247" t="s">
        <v>4103</v>
      </c>
      <c r="C36" s="245">
        <f t="shared" si="0"/>
        <v>2200</v>
      </c>
      <c r="D36" s="248">
        <v>65</v>
      </c>
      <c r="E36" s="248">
        <v>2135</v>
      </c>
    </row>
    <row r="37" s="92" customFormat="1" ht="23.25" customHeight="1" spans="1:5">
      <c r="A37" s="247" t="s">
        <v>4104</v>
      </c>
      <c r="B37" s="247" t="s">
        <v>4105</v>
      </c>
      <c r="C37" s="245">
        <f t="shared" si="0"/>
        <v>0</v>
      </c>
      <c r="D37" s="248"/>
      <c r="E37" s="248"/>
    </row>
    <row r="38" s="92" customFormat="1" ht="23.25" customHeight="1" spans="1:5">
      <c r="A38" s="246" t="s">
        <v>4106</v>
      </c>
      <c r="B38" s="246" t="s">
        <v>4107</v>
      </c>
      <c r="C38" s="245">
        <f t="shared" si="0"/>
        <v>0</v>
      </c>
      <c r="D38" s="245">
        <f>SUM(D39:D41)</f>
        <v>0</v>
      </c>
      <c r="E38" s="245">
        <f>SUM(E39:E41)</f>
        <v>0</v>
      </c>
    </row>
    <row r="39" s="92" customFormat="1" ht="23.25" customHeight="1" spans="1:5">
      <c r="A39" s="247" t="s">
        <v>4108</v>
      </c>
      <c r="B39" s="247" t="s">
        <v>4109</v>
      </c>
      <c r="C39" s="245">
        <f t="shared" si="0"/>
        <v>0</v>
      </c>
      <c r="D39" s="248"/>
      <c r="E39" s="248"/>
    </row>
    <row r="40" s="92" customFormat="1" ht="23.25" customHeight="1" spans="1:5">
      <c r="A40" s="247" t="s">
        <v>4110</v>
      </c>
      <c r="B40" s="247" t="s">
        <v>4111</v>
      </c>
      <c r="C40" s="245">
        <f t="shared" si="0"/>
        <v>0</v>
      </c>
      <c r="D40" s="248"/>
      <c r="E40" s="248"/>
    </row>
    <row r="41" s="92" customFormat="1" ht="23.25" customHeight="1" spans="1:5">
      <c r="A41" s="247" t="s">
        <v>4112</v>
      </c>
      <c r="B41" s="247" t="s">
        <v>4113</v>
      </c>
      <c r="C41" s="245">
        <f t="shared" si="0"/>
        <v>0</v>
      </c>
      <c r="D41" s="248"/>
      <c r="E41" s="248"/>
    </row>
    <row r="42" s="92" customFormat="1" ht="23.25" customHeight="1" spans="1:5">
      <c r="A42" s="246" t="s">
        <v>4114</v>
      </c>
      <c r="B42" s="246" t="s">
        <v>4115</v>
      </c>
      <c r="C42" s="245">
        <f t="shared" si="0"/>
        <v>51243</v>
      </c>
      <c r="D42" s="245">
        <f>SUM(D43:D47)</f>
        <v>11223</v>
      </c>
      <c r="E42" s="245">
        <f>SUM(E43:E47)</f>
        <v>40020</v>
      </c>
    </row>
    <row r="43" s="92" customFormat="1" ht="23.25" customHeight="1" spans="1:5">
      <c r="A43" s="247" t="s">
        <v>4116</v>
      </c>
      <c r="B43" s="247" t="s">
        <v>4117</v>
      </c>
      <c r="C43" s="245">
        <f t="shared" si="0"/>
        <v>35480</v>
      </c>
      <c r="D43" s="248">
        <v>5960</v>
      </c>
      <c r="E43" s="248">
        <f>5995+14010+3748+5767</f>
        <v>29520</v>
      </c>
    </row>
    <row r="44" s="92" customFormat="1" ht="23.25" customHeight="1" spans="1:5">
      <c r="A44" s="247" t="s">
        <v>4118</v>
      </c>
      <c r="B44" s="247" t="s">
        <v>4119</v>
      </c>
      <c r="C44" s="245">
        <f t="shared" si="0"/>
        <v>1722</v>
      </c>
      <c r="D44" s="248"/>
      <c r="E44" s="248">
        <f>283+1439</f>
        <v>1722</v>
      </c>
    </row>
    <row r="45" s="92" customFormat="1" ht="23.25" customHeight="1" spans="1:5">
      <c r="A45" s="247" t="s">
        <v>4120</v>
      </c>
      <c r="B45" s="247" t="s">
        <v>4121</v>
      </c>
      <c r="C45" s="245">
        <f t="shared" si="0"/>
        <v>2343</v>
      </c>
      <c r="D45" s="248"/>
      <c r="E45" s="248">
        <f>38+2305</f>
        <v>2343</v>
      </c>
    </row>
    <row r="46" s="92" customFormat="1" ht="23.25" customHeight="1" spans="1:5">
      <c r="A46" s="247" t="s">
        <v>4122</v>
      </c>
      <c r="B46" s="247" t="s">
        <v>4123</v>
      </c>
      <c r="C46" s="245">
        <f t="shared" si="0"/>
        <v>5472</v>
      </c>
      <c r="D46" s="248">
        <v>5263</v>
      </c>
      <c r="E46" s="248">
        <v>209</v>
      </c>
    </row>
    <row r="47" s="92" customFormat="1" ht="23.25" customHeight="1" spans="1:5">
      <c r="A47" s="247" t="s">
        <v>4124</v>
      </c>
      <c r="B47" s="247" t="s">
        <v>4125</v>
      </c>
      <c r="C47" s="245">
        <f t="shared" si="0"/>
        <v>6226</v>
      </c>
      <c r="D47" s="248"/>
      <c r="E47" s="248">
        <f>535+5292+398+1</f>
        <v>6226</v>
      </c>
    </row>
    <row r="48" s="92" customFormat="1" ht="23.25" customHeight="1" spans="1:5">
      <c r="A48" s="639" t="s">
        <v>4126</v>
      </c>
      <c r="B48" s="639" t="s">
        <v>4127</v>
      </c>
      <c r="C48" s="245">
        <f t="shared" si="0"/>
        <v>9686</v>
      </c>
      <c r="D48" s="245">
        <f>SUM(D49:D56)</f>
        <v>0</v>
      </c>
      <c r="E48" s="245">
        <f>SUM(E49:E50)</f>
        <v>9686</v>
      </c>
    </row>
    <row r="49" s="92" customFormat="1" ht="23.25" customHeight="1" spans="1:5">
      <c r="A49" s="247" t="s">
        <v>4128</v>
      </c>
      <c r="B49" s="247" t="s">
        <v>4129</v>
      </c>
      <c r="C49" s="245">
        <f t="shared" si="0"/>
        <v>9638</v>
      </c>
      <c r="D49" s="248"/>
      <c r="E49" s="248">
        <f>733+8905</f>
        <v>9638</v>
      </c>
    </row>
    <row r="50" s="92" customFormat="1" ht="23.25" customHeight="1" spans="1:5">
      <c r="A50" s="247">
        <v>51003</v>
      </c>
      <c r="B50" s="247" t="s">
        <v>2299</v>
      </c>
      <c r="C50" s="245">
        <f t="shared" si="0"/>
        <v>48</v>
      </c>
      <c r="D50" s="248"/>
      <c r="E50" s="248">
        <v>48</v>
      </c>
    </row>
    <row r="51" s="92" customFormat="1" ht="23.25" customHeight="1" spans="1:5">
      <c r="A51" s="246" t="s">
        <v>4130</v>
      </c>
      <c r="B51" s="246" t="s">
        <v>4131</v>
      </c>
      <c r="C51" s="245">
        <f t="shared" si="0"/>
        <v>5977</v>
      </c>
      <c r="D51" s="245">
        <f t="shared" ref="D51:D55" si="1">SUM(D52)</f>
        <v>0</v>
      </c>
      <c r="E51" s="245">
        <f t="shared" ref="E51:E55" si="2">SUM(E52)</f>
        <v>5977</v>
      </c>
    </row>
    <row r="52" s="92" customFormat="1" ht="23.25" customHeight="1" spans="1:5">
      <c r="A52" s="247" t="s">
        <v>4132</v>
      </c>
      <c r="B52" s="247" t="s">
        <v>4133</v>
      </c>
      <c r="C52" s="245">
        <f t="shared" si="0"/>
        <v>5977</v>
      </c>
      <c r="D52" s="248"/>
      <c r="E52" s="248">
        <v>5977</v>
      </c>
    </row>
    <row r="53" s="92" customFormat="1" ht="23.25" customHeight="1" spans="1:5">
      <c r="A53" s="639" t="s">
        <v>4134</v>
      </c>
      <c r="B53" s="639" t="s">
        <v>955</v>
      </c>
      <c r="C53" s="245">
        <f t="shared" si="0"/>
        <v>0</v>
      </c>
      <c r="D53" s="245">
        <f t="shared" si="1"/>
        <v>0</v>
      </c>
      <c r="E53" s="245">
        <f t="shared" si="2"/>
        <v>0</v>
      </c>
    </row>
    <row r="54" s="92" customFormat="1" ht="23.25" customHeight="1" spans="1:5">
      <c r="A54" s="247" t="s">
        <v>4132</v>
      </c>
      <c r="B54" s="640" t="s">
        <v>4135</v>
      </c>
      <c r="C54" s="245">
        <f t="shared" si="0"/>
        <v>0</v>
      </c>
      <c r="D54" s="248"/>
      <c r="E54" s="248"/>
    </row>
    <row r="55" s="92" customFormat="1" ht="23.25" customHeight="1" spans="1:5">
      <c r="A55" s="639" t="s">
        <v>4136</v>
      </c>
      <c r="B55" s="639" t="s">
        <v>95</v>
      </c>
      <c r="C55" s="245">
        <f t="shared" si="0"/>
        <v>0</v>
      </c>
      <c r="D55" s="245">
        <f t="shared" si="1"/>
        <v>0</v>
      </c>
      <c r="E55" s="245">
        <f t="shared" si="2"/>
        <v>0</v>
      </c>
    </row>
    <row r="56" s="92" customFormat="1" ht="23.25" customHeight="1" spans="1:5">
      <c r="A56" s="247">
        <v>51301</v>
      </c>
      <c r="B56" s="247" t="s">
        <v>95</v>
      </c>
      <c r="C56" s="245">
        <f t="shared" si="0"/>
        <v>0</v>
      </c>
      <c r="D56" s="248"/>
      <c r="E56" s="248"/>
    </row>
    <row r="57" s="92" customFormat="1" ht="23.25" customHeight="1" spans="1:5">
      <c r="A57" s="639" t="s">
        <v>4137</v>
      </c>
      <c r="B57" s="639" t="s">
        <v>4008</v>
      </c>
      <c r="C57" s="245">
        <f t="shared" si="0"/>
        <v>5309</v>
      </c>
      <c r="D57" s="245">
        <f>SUM(D58:D59)</f>
        <v>0</v>
      </c>
      <c r="E57" s="245">
        <f>SUM(E58:E59)</f>
        <v>5309</v>
      </c>
    </row>
    <row r="58" s="92" customFormat="1" ht="23.25" customHeight="1" spans="1:5">
      <c r="A58" s="247">
        <v>51401</v>
      </c>
      <c r="B58" s="247" t="s">
        <v>4008</v>
      </c>
      <c r="C58" s="245">
        <f t="shared" si="0"/>
        <v>4623</v>
      </c>
      <c r="D58" s="248"/>
      <c r="E58" s="248">
        <v>4623</v>
      </c>
    </row>
    <row r="59" s="92" customFormat="1" ht="23.25" customHeight="1" spans="1:5">
      <c r="A59" s="247">
        <v>51402</v>
      </c>
      <c r="B59" s="247" t="s">
        <v>4138</v>
      </c>
      <c r="C59" s="245">
        <f t="shared" si="0"/>
        <v>686</v>
      </c>
      <c r="D59" s="248"/>
      <c r="E59" s="248">
        <v>686</v>
      </c>
    </row>
    <row r="60" s="92" customFormat="1" ht="23.25" customHeight="1" spans="1:5">
      <c r="A60" s="246">
        <v>599</v>
      </c>
      <c r="B60" s="246" t="s">
        <v>1624</v>
      </c>
      <c r="C60" s="245">
        <f t="shared" si="0"/>
        <v>2091</v>
      </c>
      <c r="D60" s="245">
        <f>SUM(D61:D61)</f>
        <v>0</v>
      </c>
      <c r="E60" s="245">
        <f>SUM(E61:E61)</f>
        <v>2091</v>
      </c>
    </row>
    <row r="61" s="92" customFormat="1" ht="23.25" customHeight="1" spans="1:5">
      <c r="A61" s="247">
        <v>59999</v>
      </c>
      <c r="B61" s="247" t="s">
        <v>1624</v>
      </c>
      <c r="C61" s="245">
        <f t="shared" si="0"/>
        <v>2091</v>
      </c>
      <c r="D61" s="248"/>
      <c r="E61" s="248">
        <v>2091</v>
      </c>
    </row>
  </sheetData>
  <mergeCells count="1">
    <mergeCell ref="A1:E1"/>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D9" sqref="D9"/>
    </sheetView>
  </sheetViews>
  <sheetFormatPr defaultColWidth="9" defaultRowHeight="15"/>
  <cols>
    <col min="1" max="1" width="12.5" style="240" customWidth="1"/>
    <col min="2" max="2" width="24" style="240" customWidth="1"/>
    <col min="3" max="4" width="14.25" style="240" customWidth="1"/>
    <col min="5" max="16384" width="9" style="240"/>
  </cols>
  <sheetData>
    <row r="1" s="240" customFormat="1" ht="36.75" customHeight="1" spans="1:4">
      <c r="A1" s="638" t="s">
        <v>4139</v>
      </c>
      <c r="B1" s="241"/>
      <c r="C1" s="241"/>
      <c r="D1" s="241"/>
    </row>
    <row r="2" s="240" customFormat="1" ht="18" customHeight="1" spans="1:4">
      <c r="A2" s="91"/>
      <c r="B2" s="91"/>
      <c r="C2" s="91"/>
      <c r="D2" s="91"/>
    </row>
    <row r="3" s="240" customFormat="1" ht="37.5" customHeight="1" spans="1:4">
      <c r="A3" s="242" t="s">
        <v>435</v>
      </c>
      <c r="B3" s="242" t="s">
        <v>436</v>
      </c>
      <c r="C3" s="242" t="s">
        <v>959</v>
      </c>
      <c r="D3" s="242" t="s">
        <v>4047</v>
      </c>
    </row>
    <row r="4" s="92" customFormat="1" ht="23.25" customHeight="1" spans="1:4">
      <c r="A4" s="243"/>
      <c r="B4" s="244" t="s">
        <v>959</v>
      </c>
      <c r="C4" s="245">
        <f t="shared" ref="C4:C61" si="0">D4</f>
        <v>133410</v>
      </c>
      <c r="D4" s="245">
        <f>D5+D10+D20+D31+D35+D42+D51+D26+D55+D57+D48+D53+D38+D60</f>
        <v>133410</v>
      </c>
    </row>
    <row r="5" s="92" customFormat="1" ht="23.25" customHeight="1" spans="1:4">
      <c r="A5" s="246" t="s">
        <v>4049</v>
      </c>
      <c r="B5" s="246" t="s">
        <v>4050</v>
      </c>
      <c r="C5" s="245">
        <f t="shared" si="0"/>
        <v>35087</v>
      </c>
      <c r="D5" s="245">
        <f>SUM(D6:D9)</f>
        <v>35087</v>
      </c>
    </row>
    <row r="6" s="92" customFormat="1" ht="23.25" customHeight="1" spans="1:4">
      <c r="A6" s="247" t="s">
        <v>4051</v>
      </c>
      <c r="B6" s="247" t="s">
        <v>4052</v>
      </c>
      <c r="C6" s="245">
        <f t="shared" si="0"/>
        <v>23571</v>
      </c>
      <c r="D6" s="248">
        <f>21571+2000</f>
        <v>23571</v>
      </c>
    </row>
    <row r="7" s="92" customFormat="1" ht="23.25" customHeight="1" spans="1:4">
      <c r="A7" s="247" t="s">
        <v>4053</v>
      </c>
      <c r="B7" s="247" t="s">
        <v>4054</v>
      </c>
      <c r="C7" s="245">
        <f t="shared" si="0"/>
        <v>7641</v>
      </c>
      <c r="D7" s="248">
        <v>7641</v>
      </c>
    </row>
    <row r="8" s="92" customFormat="1" ht="23.25" customHeight="1" spans="1:4">
      <c r="A8" s="247" t="s">
        <v>4055</v>
      </c>
      <c r="B8" s="247" t="s">
        <v>3760</v>
      </c>
      <c r="C8" s="245">
        <f t="shared" si="0"/>
        <v>2770</v>
      </c>
      <c r="D8" s="248">
        <v>2770</v>
      </c>
    </row>
    <row r="9" s="92" customFormat="1" ht="23.25" customHeight="1" spans="1:4">
      <c r="A9" s="247" t="s">
        <v>4056</v>
      </c>
      <c r="B9" s="247" t="s">
        <v>4057</v>
      </c>
      <c r="C9" s="245">
        <f t="shared" si="0"/>
        <v>1105</v>
      </c>
      <c r="D9" s="248">
        <v>1105</v>
      </c>
    </row>
    <row r="10" s="92" customFormat="1" ht="23.25" customHeight="1" spans="1:4">
      <c r="A10" s="246" t="s">
        <v>4058</v>
      </c>
      <c r="B10" s="246" t="s">
        <v>4059</v>
      </c>
      <c r="C10" s="245">
        <f t="shared" si="0"/>
        <v>6415</v>
      </c>
      <c r="D10" s="245">
        <f>SUM(D11:D19)</f>
        <v>6415</v>
      </c>
    </row>
    <row r="11" s="92" customFormat="1" ht="23.25" customHeight="1" spans="1:4">
      <c r="A11" s="247" t="s">
        <v>4060</v>
      </c>
      <c r="B11" s="247" t="s">
        <v>4061</v>
      </c>
      <c r="C11" s="245">
        <f t="shared" si="0"/>
        <v>4459</v>
      </c>
      <c r="D11" s="248">
        <v>4459</v>
      </c>
    </row>
    <row r="12" s="92" customFormat="1" ht="23.25" customHeight="1" spans="1:9">
      <c r="A12" s="247" t="s">
        <v>4062</v>
      </c>
      <c r="B12" s="249" t="s">
        <v>4063</v>
      </c>
      <c r="C12" s="245">
        <f t="shared" si="0"/>
        <v>49</v>
      </c>
      <c r="D12" s="248">
        <v>49</v>
      </c>
      <c r="G12" s="250"/>
      <c r="H12" s="177"/>
      <c r="I12" s="177"/>
    </row>
    <row r="13" s="92" customFormat="1" ht="23.25" customHeight="1" spans="1:9">
      <c r="A13" s="247" t="s">
        <v>4064</v>
      </c>
      <c r="B13" s="249" t="s">
        <v>4065</v>
      </c>
      <c r="C13" s="245">
        <f t="shared" si="0"/>
        <v>44</v>
      </c>
      <c r="D13" s="248">
        <v>44</v>
      </c>
      <c r="G13" s="250"/>
      <c r="H13" s="177"/>
      <c r="I13" s="177"/>
    </row>
    <row r="14" s="92" customFormat="1" ht="23.25" customHeight="1" spans="1:9">
      <c r="A14" s="247" t="s">
        <v>4066</v>
      </c>
      <c r="B14" s="247" t="s">
        <v>4067</v>
      </c>
      <c r="C14" s="245">
        <f t="shared" si="0"/>
        <v>0</v>
      </c>
      <c r="D14" s="248"/>
      <c r="G14" s="250"/>
      <c r="H14" s="177"/>
      <c r="I14" s="177"/>
    </row>
    <row r="15" s="92" customFormat="1" ht="23.25" customHeight="1" spans="1:9">
      <c r="A15" s="247" t="s">
        <v>4068</v>
      </c>
      <c r="B15" s="247" t="s">
        <v>4069</v>
      </c>
      <c r="C15" s="245">
        <f t="shared" si="0"/>
        <v>249</v>
      </c>
      <c r="D15" s="248">
        <v>249</v>
      </c>
      <c r="G15" s="250"/>
      <c r="H15" s="177"/>
      <c r="I15" s="177"/>
    </row>
    <row r="16" s="92" customFormat="1" ht="23.25" customHeight="1" spans="1:9">
      <c r="A16" s="247" t="s">
        <v>4070</v>
      </c>
      <c r="B16" s="249" t="s">
        <v>1043</v>
      </c>
      <c r="C16" s="245">
        <f t="shared" si="0"/>
        <v>65</v>
      </c>
      <c r="D16" s="248">
        <v>65</v>
      </c>
      <c r="G16" s="250"/>
      <c r="H16" s="177"/>
      <c r="I16" s="177"/>
    </row>
    <row r="17" s="92" customFormat="1" ht="23.25" customHeight="1" spans="1:9">
      <c r="A17" s="247" t="s">
        <v>4071</v>
      </c>
      <c r="B17" s="249" t="s">
        <v>1046</v>
      </c>
      <c r="C17" s="245">
        <f t="shared" si="0"/>
        <v>349</v>
      </c>
      <c r="D17" s="248">
        <v>349</v>
      </c>
      <c r="G17" s="250"/>
      <c r="H17" s="177"/>
      <c r="I17" s="177"/>
    </row>
    <row r="18" s="92" customFormat="1" ht="23.25" customHeight="1" spans="1:4">
      <c r="A18" s="247" t="s">
        <v>4072</v>
      </c>
      <c r="B18" s="247" t="s">
        <v>4073</v>
      </c>
      <c r="C18" s="245">
        <f t="shared" si="0"/>
        <v>93</v>
      </c>
      <c r="D18" s="248">
        <v>93</v>
      </c>
    </row>
    <row r="19" s="92" customFormat="1" ht="23.25" customHeight="1" spans="1:4">
      <c r="A19" s="247" t="s">
        <v>4074</v>
      </c>
      <c r="B19" s="247" t="s">
        <v>4075</v>
      </c>
      <c r="C19" s="245">
        <f t="shared" si="0"/>
        <v>1107</v>
      </c>
      <c r="D19" s="248">
        <v>1107</v>
      </c>
    </row>
    <row r="20" s="92" customFormat="1" ht="23.25" customHeight="1" spans="1:4">
      <c r="A20" s="246" t="s">
        <v>4076</v>
      </c>
      <c r="B20" s="246" t="s">
        <v>4077</v>
      </c>
      <c r="C20" s="245">
        <f t="shared" si="0"/>
        <v>15</v>
      </c>
      <c r="D20" s="245">
        <f>SUM(D21:D25)</f>
        <v>15</v>
      </c>
    </row>
    <row r="21" s="92" customFormat="1" ht="23.25" customHeight="1" spans="1:4">
      <c r="A21" s="247" t="s">
        <v>4078</v>
      </c>
      <c r="B21" s="247" t="s">
        <v>4079</v>
      </c>
      <c r="C21" s="245">
        <f t="shared" si="0"/>
        <v>0</v>
      </c>
      <c r="D21" s="248"/>
    </row>
    <row r="22" s="92" customFormat="1" ht="23.25" customHeight="1" spans="1:4">
      <c r="A22" s="247" t="s">
        <v>4080</v>
      </c>
      <c r="B22" s="247" t="s">
        <v>4081</v>
      </c>
      <c r="C22" s="245">
        <f t="shared" si="0"/>
        <v>0</v>
      </c>
      <c r="D22" s="248"/>
    </row>
    <row r="23" s="92" customFormat="1" ht="23.25" customHeight="1" spans="1:4">
      <c r="A23" s="247" t="s">
        <v>4082</v>
      </c>
      <c r="B23" s="247" t="s">
        <v>4083</v>
      </c>
      <c r="C23" s="245">
        <f t="shared" si="0"/>
        <v>15</v>
      </c>
      <c r="D23" s="248">
        <v>15</v>
      </c>
    </row>
    <row r="24" s="92" customFormat="1" ht="23.25" customHeight="1" spans="1:4">
      <c r="A24" s="247" t="s">
        <v>4084</v>
      </c>
      <c r="B24" s="247" t="s">
        <v>4085</v>
      </c>
      <c r="C24" s="245">
        <f t="shared" si="0"/>
        <v>0</v>
      </c>
      <c r="D24" s="248"/>
    </row>
    <row r="25" s="92" customFormat="1" ht="23.25" customHeight="1" spans="1:4">
      <c r="A25" s="247" t="s">
        <v>4086</v>
      </c>
      <c r="B25" s="247" t="s">
        <v>4087</v>
      </c>
      <c r="C25" s="245">
        <f t="shared" si="0"/>
        <v>0</v>
      </c>
      <c r="D25" s="248"/>
    </row>
    <row r="26" s="92" customFormat="1" ht="23.25" customHeight="1" spans="1:4">
      <c r="A26" s="246">
        <v>504</v>
      </c>
      <c r="B26" s="246" t="s">
        <v>4088</v>
      </c>
      <c r="C26" s="245">
        <f t="shared" si="0"/>
        <v>0</v>
      </c>
      <c r="D26" s="245">
        <f>SUM(D27:D30)</f>
        <v>0</v>
      </c>
    </row>
    <row r="27" s="92" customFormat="1" ht="23.25" customHeight="1" spans="1:4">
      <c r="A27" s="247" t="s">
        <v>4089</v>
      </c>
      <c r="B27" s="247" t="s">
        <v>4079</v>
      </c>
      <c r="C27" s="245">
        <f t="shared" si="0"/>
        <v>0</v>
      </c>
      <c r="D27" s="248"/>
    </row>
    <row r="28" s="92" customFormat="1" ht="23.25" customHeight="1" spans="1:4">
      <c r="A28" s="247" t="s">
        <v>4090</v>
      </c>
      <c r="B28" s="247" t="s">
        <v>4081</v>
      </c>
      <c r="C28" s="245">
        <f t="shared" si="0"/>
        <v>0</v>
      </c>
      <c r="D28" s="248"/>
    </row>
    <row r="29" s="92" customFormat="1" ht="23.25" customHeight="1" spans="1:4">
      <c r="A29" s="247" t="s">
        <v>4091</v>
      </c>
      <c r="B29" s="247" t="s">
        <v>4083</v>
      </c>
      <c r="C29" s="245">
        <f t="shared" si="0"/>
        <v>0</v>
      </c>
      <c r="D29" s="248"/>
    </row>
    <row r="30" s="92" customFormat="1" ht="23.25" customHeight="1" spans="1:4">
      <c r="A30" s="247" t="s">
        <v>4092</v>
      </c>
      <c r="B30" s="247" t="s">
        <v>4087</v>
      </c>
      <c r="C30" s="245">
        <f t="shared" si="0"/>
        <v>0</v>
      </c>
      <c r="D30" s="248"/>
    </row>
    <row r="31" s="92" customFormat="1" ht="23.25" customHeight="1" spans="1:4">
      <c r="A31" s="246" t="s">
        <v>4093</v>
      </c>
      <c r="B31" s="246" t="s">
        <v>4094</v>
      </c>
      <c r="C31" s="245">
        <f t="shared" si="0"/>
        <v>80605</v>
      </c>
      <c r="D31" s="245">
        <f>SUM(D32:D34)</f>
        <v>80605</v>
      </c>
    </row>
    <row r="32" s="92" customFormat="1" ht="23.25" customHeight="1" spans="1:4">
      <c r="A32" s="247" t="s">
        <v>4095</v>
      </c>
      <c r="B32" s="247" t="s">
        <v>4096</v>
      </c>
      <c r="C32" s="245">
        <f t="shared" si="0"/>
        <v>75339</v>
      </c>
      <c r="D32" s="248">
        <v>75339</v>
      </c>
    </row>
    <row r="33" s="92" customFormat="1" ht="23.25" customHeight="1" spans="1:4">
      <c r="A33" s="247" t="s">
        <v>4097</v>
      </c>
      <c r="B33" s="247" t="s">
        <v>4098</v>
      </c>
      <c r="C33" s="245">
        <f t="shared" si="0"/>
        <v>5266</v>
      </c>
      <c r="D33" s="248">
        <v>5266</v>
      </c>
    </row>
    <row r="34" s="92" customFormat="1" ht="23.25" customHeight="1" spans="1:4">
      <c r="A34" s="247">
        <v>50599</v>
      </c>
      <c r="B34" s="247" t="s">
        <v>4099</v>
      </c>
      <c r="C34" s="245">
        <f t="shared" si="0"/>
        <v>0</v>
      </c>
      <c r="D34" s="248"/>
    </row>
    <row r="35" s="92" customFormat="1" ht="23.25" customHeight="1" spans="1:4">
      <c r="A35" s="246" t="s">
        <v>4100</v>
      </c>
      <c r="B35" s="246" t="s">
        <v>4101</v>
      </c>
      <c r="C35" s="245">
        <f t="shared" si="0"/>
        <v>65</v>
      </c>
      <c r="D35" s="245">
        <f>SUM(D36:D37)</f>
        <v>65</v>
      </c>
    </row>
    <row r="36" s="92" customFormat="1" ht="23.25" customHeight="1" spans="1:4">
      <c r="A36" s="247" t="s">
        <v>4102</v>
      </c>
      <c r="B36" s="247" t="s">
        <v>4103</v>
      </c>
      <c r="C36" s="245">
        <f t="shared" si="0"/>
        <v>65</v>
      </c>
      <c r="D36" s="248">
        <v>65</v>
      </c>
    </row>
    <row r="37" s="92" customFormat="1" ht="23.25" customHeight="1" spans="1:4">
      <c r="A37" s="247" t="s">
        <v>4104</v>
      </c>
      <c r="B37" s="247" t="s">
        <v>4105</v>
      </c>
      <c r="C37" s="245">
        <f t="shared" si="0"/>
        <v>0</v>
      </c>
      <c r="D37" s="248"/>
    </row>
    <row r="38" s="92" customFormat="1" ht="23.25" customHeight="1" spans="1:4">
      <c r="A38" s="246" t="s">
        <v>4106</v>
      </c>
      <c r="B38" s="246" t="s">
        <v>4107</v>
      </c>
      <c r="C38" s="245">
        <f t="shared" si="0"/>
        <v>0</v>
      </c>
      <c r="D38" s="245">
        <f>SUM(D39:D41)</f>
        <v>0</v>
      </c>
    </row>
    <row r="39" s="92" customFormat="1" ht="23.25" customHeight="1" spans="1:4">
      <c r="A39" s="247" t="s">
        <v>4108</v>
      </c>
      <c r="B39" s="247" t="s">
        <v>4109</v>
      </c>
      <c r="C39" s="245">
        <f t="shared" si="0"/>
        <v>0</v>
      </c>
      <c r="D39" s="248"/>
    </row>
    <row r="40" s="92" customFormat="1" ht="23.25" customHeight="1" spans="1:4">
      <c r="A40" s="247" t="s">
        <v>4110</v>
      </c>
      <c r="B40" s="247" t="s">
        <v>4111</v>
      </c>
      <c r="C40" s="245">
        <f t="shared" si="0"/>
        <v>0</v>
      </c>
      <c r="D40" s="248"/>
    </row>
    <row r="41" s="92" customFormat="1" ht="23.25" customHeight="1" spans="1:4">
      <c r="A41" s="247" t="s">
        <v>4112</v>
      </c>
      <c r="B41" s="247" t="s">
        <v>4113</v>
      </c>
      <c r="C41" s="245">
        <f t="shared" si="0"/>
        <v>0</v>
      </c>
      <c r="D41" s="248"/>
    </row>
    <row r="42" s="92" customFormat="1" ht="23.25" customHeight="1" spans="1:4">
      <c r="A42" s="246" t="s">
        <v>4114</v>
      </c>
      <c r="B42" s="246" t="s">
        <v>4115</v>
      </c>
      <c r="C42" s="245">
        <f t="shared" si="0"/>
        <v>11223</v>
      </c>
      <c r="D42" s="245">
        <f>SUM(D43:D47)</f>
        <v>11223</v>
      </c>
    </row>
    <row r="43" s="92" customFormat="1" ht="23.25" customHeight="1" spans="1:4">
      <c r="A43" s="247" t="s">
        <v>4116</v>
      </c>
      <c r="B43" s="247" t="s">
        <v>4117</v>
      </c>
      <c r="C43" s="245">
        <f t="shared" si="0"/>
        <v>5960</v>
      </c>
      <c r="D43" s="248">
        <v>5960</v>
      </c>
    </row>
    <row r="44" s="92" customFormat="1" ht="23.25" customHeight="1" spans="1:4">
      <c r="A44" s="247" t="s">
        <v>4118</v>
      </c>
      <c r="B44" s="247" t="s">
        <v>4119</v>
      </c>
      <c r="C44" s="245">
        <f t="shared" si="0"/>
        <v>0</v>
      </c>
      <c r="D44" s="248"/>
    </row>
    <row r="45" s="92" customFormat="1" ht="23.25" customHeight="1" spans="1:4">
      <c r="A45" s="247" t="s">
        <v>4120</v>
      </c>
      <c r="B45" s="247" t="s">
        <v>4121</v>
      </c>
      <c r="C45" s="245">
        <f t="shared" si="0"/>
        <v>0</v>
      </c>
      <c r="D45" s="248"/>
    </row>
    <row r="46" s="92" customFormat="1" ht="23.25" customHeight="1" spans="1:4">
      <c r="A46" s="247" t="s">
        <v>4122</v>
      </c>
      <c r="B46" s="247" t="s">
        <v>4123</v>
      </c>
      <c r="C46" s="245">
        <f t="shared" si="0"/>
        <v>5263</v>
      </c>
      <c r="D46" s="248">
        <v>5263</v>
      </c>
    </row>
    <row r="47" s="92" customFormat="1" ht="23.25" customHeight="1" spans="1:4">
      <c r="A47" s="247" t="s">
        <v>4124</v>
      </c>
      <c r="B47" s="247" t="s">
        <v>4125</v>
      </c>
      <c r="C47" s="245">
        <f t="shared" si="0"/>
        <v>0</v>
      </c>
      <c r="D47" s="248"/>
    </row>
    <row r="48" s="92" customFormat="1" ht="23.25" customHeight="1" spans="1:4">
      <c r="A48" s="639" t="s">
        <v>4126</v>
      </c>
      <c r="B48" s="639" t="s">
        <v>4127</v>
      </c>
      <c r="C48" s="245">
        <f t="shared" si="0"/>
        <v>0</v>
      </c>
      <c r="D48" s="245">
        <f>SUM(D49:D56)</f>
        <v>0</v>
      </c>
    </row>
    <row r="49" s="92" customFormat="1" ht="23.25" customHeight="1" spans="1:4">
      <c r="A49" s="247" t="s">
        <v>4128</v>
      </c>
      <c r="B49" s="247" t="s">
        <v>4129</v>
      </c>
      <c r="C49" s="245">
        <f t="shared" si="0"/>
        <v>0</v>
      </c>
      <c r="D49" s="248"/>
    </row>
    <row r="50" s="92" customFormat="1" ht="23.25" customHeight="1" spans="1:4">
      <c r="A50" s="247">
        <v>51003</v>
      </c>
      <c r="B50" s="247" t="s">
        <v>2299</v>
      </c>
      <c r="C50" s="245">
        <f t="shared" si="0"/>
        <v>0</v>
      </c>
      <c r="D50" s="248"/>
    </row>
    <row r="51" s="92" customFormat="1" ht="23.25" customHeight="1" spans="1:4">
      <c r="A51" s="246" t="s">
        <v>4130</v>
      </c>
      <c r="B51" s="246" t="s">
        <v>4131</v>
      </c>
      <c r="C51" s="245">
        <f t="shared" si="0"/>
        <v>0</v>
      </c>
      <c r="D51" s="245">
        <f t="shared" ref="D51:D55" si="1">SUM(D52)</f>
        <v>0</v>
      </c>
    </row>
    <row r="52" s="92" customFormat="1" ht="23.25" customHeight="1" spans="1:4">
      <c r="A52" s="247" t="s">
        <v>4132</v>
      </c>
      <c r="B52" s="247" t="s">
        <v>4133</v>
      </c>
      <c r="C52" s="245">
        <f t="shared" si="0"/>
        <v>0</v>
      </c>
      <c r="D52" s="248"/>
    </row>
    <row r="53" s="92" customFormat="1" ht="23.25" customHeight="1" spans="1:4">
      <c r="A53" s="639" t="s">
        <v>4134</v>
      </c>
      <c r="B53" s="639" t="s">
        <v>955</v>
      </c>
      <c r="C53" s="245">
        <f t="shared" si="0"/>
        <v>0</v>
      </c>
      <c r="D53" s="245">
        <f t="shared" si="1"/>
        <v>0</v>
      </c>
    </row>
    <row r="54" s="92" customFormat="1" ht="23.25" customHeight="1" spans="1:4">
      <c r="A54" s="247" t="s">
        <v>4132</v>
      </c>
      <c r="B54" s="640" t="s">
        <v>4135</v>
      </c>
      <c r="C54" s="245">
        <f t="shared" si="0"/>
        <v>0</v>
      </c>
      <c r="D54" s="248"/>
    </row>
    <row r="55" s="92" customFormat="1" ht="23.25" customHeight="1" spans="1:4">
      <c r="A55" s="639" t="s">
        <v>4136</v>
      </c>
      <c r="B55" s="639" t="s">
        <v>95</v>
      </c>
      <c r="C55" s="245">
        <f t="shared" si="0"/>
        <v>0</v>
      </c>
      <c r="D55" s="245">
        <f t="shared" si="1"/>
        <v>0</v>
      </c>
    </row>
    <row r="56" s="92" customFormat="1" ht="23.25" customHeight="1" spans="1:4">
      <c r="A56" s="247">
        <v>51301</v>
      </c>
      <c r="B56" s="247" t="s">
        <v>95</v>
      </c>
      <c r="C56" s="245">
        <f t="shared" si="0"/>
        <v>0</v>
      </c>
      <c r="D56" s="248"/>
    </row>
    <row r="57" s="92" customFormat="1" ht="23.25" customHeight="1" spans="1:4">
      <c r="A57" s="639" t="s">
        <v>4137</v>
      </c>
      <c r="B57" s="639" t="s">
        <v>4008</v>
      </c>
      <c r="C57" s="245">
        <f t="shared" si="0"/>
        <v>0</v>
      </c>
      <c r="D57" s="245">
        <f>SUM(D58:D59)</f>
        <v>0</v>
      </c>
    </row>
    <row r="58" s="92" customFormat="1" ht="23.25" customHeight="1" spans="1:4">
      <c r="A58" s="247">
        <v>51401</v>
      </c>
      <c r="B58" s="247" t="s">
        <v>4008</v>
      </c>
      <c r="C58" s="245">
        <f t="shared" si="0"/>
        <v>0</v>
      </c>
      <c r="D58" s="248"/>
    </row>
    <row r="59" s="92" customFormat="1" ht="23.25" customHeight="1" spans="1:4">
      <c r="A59" s="247">
        <v>51402</v>
      </c>
      <c r="B59" s="247" t="s">
        <v>4138</v>
      </c>
      <c r="C59" s="245">
        <f t="shared" si="0"/>
        <v>0</v>
      </c>
      <c r="D59" s="248"/>
    </row>
    <row r="60" s="92" customFormat="1" ht="23.25" customHeight="1" spans="1:4">
      <c r="A60" s="246">
        <v>599</v>
      </c>
      <c r="B60" s="246" t="s">
        <v>1624</v>
      </c>
      <c r="C60" s="245">
        <f t="shared" si="0"/>
        <v>0</v>
      </c>
      <c r="D60" s="245">
        <f>SUM(D61:D61)</f>
        <v>0</v>
      </c>
    </row>
    <row r="61" s="92" customFormat="1" ht="23.25" customHeight="1" spans="1:4">
      <c r="A61" s="247">
        <v>59999</v>
      </c>
      <c r="B61" s="247" t="s">
        <v>1624</v>
      </c>
      <c r="C61" s="245">
        <f t="shared" si="0"/>
        <v>0</v>
      </c>
      <c r="D61" s="248"/>
    </row>
  </sheetData>
  <mergeCells count="1">
    <mergeCell ref="A1:D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C11" sqref="C11"/>
    </sheetView>
  </sheetViews>
  <sheetFormatPr defaultColWidth="9" defaultRowHeight="12.5"/>
  <cols>
    <col min="1" max="1" width="35.3416666666667" style="196" customWidth="1"/>
    <col min="2" max="3" width="11.025" style="196" customWidth="1"/>
    <col min="4" max="5" width="10.625" style="196" customWidth="1"/>
    <col min="6" max="6" width="32.625" style="196" customWidth="1"/>
    <col min="7" max="7" width="10.75" style="196" customWidth="1"/>
    <col min="8" max="10" width="10.375" style="196" customWidth="1"/>
    <col min="11" max="11" width="9" style="196"/>
    <col min="12" max="12" width="8.875" style="196" customWidth="1"/>
    <col min="13" max="16384" width="9" style="196"/>
  </cols>
  <sheetData>
    <row r="1" s="196" customFormat="1" ht="24.75" customHeight="1" spans="1:10">
      <c r="A1" s="587" t="s">
        <v>4140</v>
      </c>
      <c r="B1" s="198"/>
      <c r="C1" s="198"/>
      <c r="D1" s="198"/>
      <c r="E1" s="198"/>
      <c r="F1" s="198"/>
      <c r="G1" s="198"/>
      <c r="H1" s="198"/>
      <c r="I1" s="198"/>
      <c r="J1" s="198"/>
    </row>
    <row r="2" s="196" customFormat="1" ht="17.25" customHeight="1" spans="1:10">
      <c r="A2" s="199"/>
      <c r="B2" s="200"/>
      <c r="C2" s="200"/>
      <c r="D2" s="200"/>
      <c r="E2" s="200"/>
      <c r="F2" s="200"/>
      <c r="G2" s="201" t="s">
        <v>51</v>
      </c>
      <c r="H2" s="201"/>
      <c r="I2" s="201"/>
      <c r="J2" s="201"/>
    </row>
    <row r="3" s="196" customFormat="1" ht="18" customHeight="1" spans="1:10">
      <c r="A3" s="202" t="s">
        <v>4141</v>
      </c>
      <c r="B3" s="203"/>
      <c r="C3" s="203"/>
      <c r="D3" s="203"/>
      <c r="E3" s="203"/>
      <c r="F3" s="204" t="s">
        <v>4142</v>
      </c>
      <c r="G3" s="205"/>
      <c r="H3" s="205"/>
      <c r="I3" s="205"/>
      <c r="J3" s="231"/>
    </row>
    <row r="4" s="196" customFormat="1" ht="30" customHeight="1" spans="1:10">
      <c r="A4" s="206" t="s">
        <v>52</v>
      </c>
      <c r="B4" s="207" t="s">
        <v>217</v>
      </c>
      <c r="C4" s="641" t="s">
        <v>1010</v>
      </c>
      <c r="D4" s="207" t="s">
        <v>1068</v>
      </c>
      <c r="E4" s="208" t="s">
        <v>4143</v>
      </c>
      <c r="F4" s="206" t="s">
        <v>52</v>
      </c>
      <c r="G4" s="207" t="s">
        <v>217</v>
      </c>
      <c r="H4" s="641" t="s">
        <v>1010</v>
      </c>
      <c r="I4" s="207" t="s">
        <v>1068</v>
      </c>
      <c r="J4" s="208" t="s">
        <v>4143</v>
      </c>
    </row>
    <row r="5" s="197" customFormat="1" ht="26.25" customHeight="1" spans="1:10">
      <c r="A5" s="209" t="s">
        <v>92</v>
      </c>
      <c r="B5" s="210">
        <v>24320</v>
      </c>
      <c r="C5" s="210">
        <v>21946</v>
      </c>
      <c r="D5" s="211">
        <v>22098</v>
      </c>
      <c r="E5" s="212">
        <f t="shared" ref="E5:E18" si="0">(D5-B5)/B5*100</f>
        <v>-9.14</v>
      </c>
      <c r="F5" s="209" t="s">
        <v>93</v>
      </c>
      <c r="G5" s="213">
        <v>338323</v>
      </c>
      <c r="H5" s="213">
        <v>327347</v>
      </c>
      <c r="I5" s="232">
        <v>365680</v>
      </c>
      <c r="J5" s="212">
        <f t="shared" ref="J5:J8" si="1">(I5-G5)/G5*100</f>
        <v>8.09</v>
      </c>
    </row>
    <row r="6" s="197" customFormat="1" ht="26.25" customHeight="1" spans="1:10">
      <c r="A6" s="214" t="s">
        <v>94</v>
      </c>
      <c r="B6" s="210">
        <f>SUM(B7++B65+B68+B73+B77+B76)</f>
        <v>318647</v>
      </c>
      <c r="C6" s="210">
        <f>SUM(C7++C65+C68+C73+C77+C76)</f>
        <v>429077</v>
      </c>
      <c r="D6" s="210">
        <f>SUM(D7++D65+D68+D73+D77+D76)</f>
        <v>348518</v>
      </c>
      <c r="E6" s="212">
        <f t="shared" si="0"/>
        <v>9.37</v>
      </c>
      <c r="F6" s="214" t="s">
        <v>95</v>
      </c>
      <c r="G6" s="213">
        <f t="shared" ref="G6:I6" si="2">G7+G14+G65+G68</f>
        <v>4644</v>
      </c>
      <c r="H6" s="213">
        <f t="shared" si="2"/>
        <v>18654</v>
      </c>
      <c r="I6" s="213">
        <f t="shared" si="2"/>
        <v>4936</v>
      </c>
      <c r="J6" s="212">
        <f t="shared" si="1"/>
        <v>6.29</v>
      </c>
    </row>
    <row r="7" s="197" customFormat="1" ht="23.25" customHeight="1" spans="1:10">
      <c r="A7" s="215" t="s">
        <v>96</v>
      </c>
      <c r="B7" s="210">
        <f>SUM(B8+B14+B43)</f>
        <v>234151</v>
      </c>
      <c r="C7" s="210">
        <f>SUM(C8+C14+C43)</f>
        <v>326706</v>
      </c>
      <c r="D7" s="210">
        <f>SUM(D8+D14+D43)</f>
        <v>232033</v>
      </c>
      <c r="E7" s="212">
        <f t="shared" si="0"/>
        <v>-0.9</v>
      </c>
      <c r="F7" s="215" t="s">
        <v>97</v>
      </c>
      <c r="G7" s="210">
        <f t="shared" ref="G7:I7" si="3">SUM(G8:G12)</f>
        <v>3244</v>
      </c>
      <c r="H7" s="210">
        <f t="shared" si="3"/>
        <v>4153</v>
      </c>
      <c r="I7" s="210">
        <f t="shared" si="3"/>
        <v>4136</v>
      </c>
      <c r="J7" s="212">
        <f t="shared" si="1"/>
        <v>27.5</v>
      </c>
    </row>
    <row r="8" s="197" customFormat="1" ht="23.25" customHeight="1" spans="1:10">
      <c r="A8" s="215" t="s">
        <v>98</v>
      </c>
      <c r="B8" s="210">
        <f>SUM(B9:B13)</f>
        <v>3844</v>
      </c>
      <c r="C8" s="210">
        <f>SUM(C9:C13)</f>
        <v>3844</v>
      </c>
      <c r="D8" s="210">
        <f>SUM(D9:D13)</f>
        <v>3844</v>
      </c>
      <c r="E8" s="213">
        <f t="shared" si="0"/>
        <v>0</v>
      </c>
      <c r="F8" s="216" t="s">
        <v>99</v>
      </c>
      <c r="G8" s="217">
        <v>73</v>
      </c>
      <c r="H8" s="218">
        <v>73</v>
      </c>
      <c r="I8" s="218">
        <v>73</v>
      </c>
      <c r="J8" s="221">
        <f t="shared" si="1"/>
        <v>0</v>
      </c>
    </row>
    <row r="9" s="197" customFormat="1" ht="23.25" customHeight="1" spans="1:10">
      <c r="A9" s="219" t="s">
        <v>100</v>
      </c>
      <c r="B9" s="218">
        <v>404</v>
      </c>
      <c r="C9" s="218">
        <v>404</v>
      </c>
      <c r="D9" s="218">
        <v>404</v>
      </c>
      <c r="E9" s="220">
        <f t="shared" si="0"/>
        <v>0</v>
      </c>
      <c r="F9" s="216" t="s">
        <v>101</v>
      </c>
      <c r="G9" s="217"/>
      <c r="H9" s="218"/>
      <c r="I9" s="218"/>
      <c r="J9" s="221"/>
    </row>
    <row r="10" s="197" customFormat="1" ht="23.25" customHeight="1" spans="1:10">
      <c r="A10" s="219" t="s">
        <v>102</v>
      </c>
      <c r="B10" s="218">
        <v>197</v>
      </c>
      <c r="C10" s="218">
        <v>197</v>
      </c>
      <c r="D10" s="218">
        <v>197</v>
      </c>
      <c r="E10" s="220">
        <f t="shared" si="0"/>
        <v>0</v>
      </c>
      <c r="F10" s="216" t="s">
        <v>103</v>
      </c>
      <c r="G10" s="217"/>
      <c r="H10" s="218"/>
      <c r="I10" s="218"/>
      <c r="J10" s="221"/>
    </row>
    <row r="11" s="197" customFormat="1" ht="23.25" customHeight="1" spans="1:10">
      <c r="A11" s="219" t="s">
        <v>104</v>
      </c>
      <c r="B11" s="218">
        <v>657</v>
      </c>
      <c r="C11" s="218">
        <v>657</v>
      </c>
      <c r="D11" s="218">
        <v>657</v>
      </c>
      <c r="E11" s="220">
        <f t="shared" si="0"/>
        <v>0</v>
      </c>
      <c r="F11" s="216" t="s">
        <v>105</v>
      </c>
      <c r="G11" s="217">
        <f>1719-789</f>
        <v>930</v>
      </c>
      <c r="H11" s="218">
        <v>822</v>
      </c>
      <c r="I11" s="218">
        <v>822</v>
      </c>
      <c r="J11" s="221">
        <f>(I11-G11)/G11*100</f>
        <v>-11.61</v>
      </c>
    </row>
    <row r="12" s="197" customFormat="1" ht="23.25" customHeight="1" spans="1:10">
      <c r="A12" s="219" t="s">
        <v>106</v>
      </c>
      <c r="B12" s="218">
        <f>2235-256</f>
        <v>1979</v>
      </c>
      <c r="C12" s="218">
        <f>2235-256</f>
        <v>1979</v>
      </c>
      <c r="D12" s="218">
        <f>2235-256</f>
        <v>1979</v>
      </c>
      <c r="E12" s="220">
        <f t="shared" si="0"/>
        <v>0</v>
      </c>
      <c r="F12" s="598" t="s">
        <v>4144</v>
      </c>
      <c r="G12" s="217">
        <v>2241</v>
      </c>
      <c r="H12" s="218">
        <v>3258</v>
      </c>
      <c r="I12" s="218">
        <v>3241</v>
      </c>
      <c r="J12" s="221">
        <f>(I12-G12)/G12*100</f>
        <v>44.62</v>
      </c>
    </row>
    <row r="13" s="197" customFormat="1" ht="23.25" customHeight="1" spans="1:10">
      <c r="A13" s="219" t="s">
        <v>4145</v>
      </c>
      <c r="B13" s="218">
        <v>607</v>
      </c>
      <c r="C13" s="218">
        <v>607</v>
      </c>
      <c r="D13" s="218">
        <v>607</v>
      </c>
      <c r="E13" s="220">
        <f t="shared" si="0"/>
        <v>0</v>
      </c>
      <c r="F13" s="216"/>
      <c r="G13" s="218"/>
      <c r="H13" s="218"/>
      <c r="I13" s="218"/>
      <c r="J13" s="221"/>
    </row>
    <row r="14" s="197" customFormat="1" ht="23.25" customHeight="1" spans="1:10">
      <c r="A14" s="591" t="s">
        <v>109</v>
      </c>
      <c r="B14" s="210">
        <f>SUM(B15:B42)</f>
        <v>205645</v>
      </c>
      <c r="C14" s="210">
        <f>SUM(C15:C42)</f>
        <v>297884</v>
      </c>
      <c r="D14" s="210">
        <f>SUM(D15:D42)</f>
        <v>226816</v>
      </c>
      <c r="E14" s="212">
        <f t="shared" si="0"/>
        <v>10.29</v>
      </c>
      <c r="F14" s="215" t="s">
        <v>110</v>
      </c>
      <c r="G14" s="210">
        <f t="shared" ref="G14:I14" si="4">G15+G20+G43</f>
        <v>0</v>
      </c>
      <c r="H14" s="210">
        <f t="shared" si="4"/>
        <v>0</v>
      </c>
      <c r="I14" s="210">
        <f t="shared" si="4"/>
        <v>0</v>
      </c>
      <c r="J14" s="212"/>
    </row>
    <row r="15" s="197" customFormat="1" ht="23.25" customHeight="1" spans="1:10">
      <c r="A15" s="219" t="s">
        <v>111</v>
      </c>
      <c r="B15" s="218">
        <v>1764</v>
      </c>
      <c r="C15" s="218">
        <v>1764</v>
      </c>
      <c r="D15" s="218">
        <v>1764</v>
      </c>
      <c r="E15" s="221">
        <f t="shared" si="0"/>
        <v>0</v>
      </c>
      <c r="F15" s="215" t="s">
        <v>112</v>
      </c>
      <c r="G15" s="210">
        <f t="shared" ref="G15:I15" si="5">SUM(G16:G19)</f>
        <v>0</v>
      </c>
      <c r="H15" s="210">
        <f t="shared" si="5"/>
        <v>0</v>
      </c>
      <c r="I15" s="210">
        <f t="shared" si="5"/>
        <v>0</v>
      </c>
      <c r="J15" s="212"/>
    </row>
    <row r="16" s="197" customFormat="1" ht="23.25" customHeight="1" spans="1:10">
      <c r="A16" s="592" t="s">
        <v>113</v>
      </c>
      <c r="B16" s="218">
        <v>53147</v>
      </c>
      <c r="C16" s="218">
        <v>67974</v>
      </c>
      <c r="D16" s="223">
        <f>53272+10509</f>
        <v>63781</v>
      </c>
      <c r="E16" s="221">
        <f t="shared" si="0"/>
        <v>20.01</v>
      </c>
      <c r="F16" s="216" t="s">
        <v>114</v>
      </c>
      <c r="G16" s="218"/>
      <c r="H16" s="218"/>
      <c r="I16" s="218"/>
      <c r="J16" s="221"/>
    </row>
    <row r="17" s="197" customFormat="1" ht="23.25" customHeight="1" spans="1:10">
      <c r="A17" s="224" t="s">
        <v>115</v>
      </c>
      <c r="B17" s="218">
        <v>14575</v>
      </c>
      <c r="C17" s="218">
        <v>16910</v>
      </c>
      <c r="D17" s="223">
        <f>16014+896</f>
        <v>16910</v>
      </c>
      <c r="E17" s="221">
        <f t="shared" si="0"/>
        <v>16.02</v>
      </c>
      <c r="F17" s="216" t="s">
        <v>116</v>
      </c>
      <c r="G17" s="218"/>
      <c r="H17" s="218"/>
      <c r="I17" s="218"/>
      <c r="J17" s="221"/>
    </row>
    <row r="18" s="197" customFormat="1" ht="23.25" customHeight="1" spans="1:10">
      <c r="A18" s="593" t="s">
        <v>117</v>
      </c>
      <c r="B18" s="218">
        <v>4906</v>
      </c>
      <c r="C18" s="218">
        <v>8785</v>
      </c>
      <c r="D18" s="223">
        <f>376+339</f>
        <v>715</v>
      </c>
      <c r="E18" s="221">
        <f t="shared" si="0"/>
        <v>-85.43</v>
      </c>
      <c r="F18" s="216" t="s">
        <v>118</v>
      </c>
      <c r="G18" s="218"/>
      <c r="H18" s="218"/>
      <c r="I18" s="218"/>
      <c r="J18" s="221"/>
    </row>
    <row r="19" s="197" customFormat="1" ht="23.25" customHeight="1" spans="1:10">
      <c r="A19" s="592" t="s">
        <v>119</v>
      </c>
      <c r="B19" s="218"/>
      <c r="C19" s="218"/>
      <c r="D19" s="218"/>
      <c r="E19" s="221"/>
      <c r="F19" s="216" t="s">
        <v>120</v>
      </c>
      <c r="G19" s="218"/>
      <c r="H19" s="218"/>
      <c r="I19" s="218"/>
      <c r="J19" s="221"/>
    </row>
    <row r="20" s="197" customFormat="1" ht="23.25" customHeight="1" spans="1:10">
      <c r="A20" s="224" t="s">
        <v>121</v>
      </c>
      <c r="B20" s="218"/>
      <c r="C20" s="218"/>
      <c r="D20" s="218"/>
      <c r="E20" s="221"/>
      <c r="F20" s="215" t="s">
        <v>122</v>
      </c>
      <c r="G20" s="210">
        <f t="shared" ref="G20:I20" si="6">SUM(G21:G38)</f>
        <v>0</v>
      </c>
      <c r="H20" s="210">
        <f t="shared" si="6"/>
        <v>0</v>
      </c>
      <c r="I20" s="210">
        <f t="shared" si="6"/>
        <v>0</v>
      </c>
      <c r="J20" s="212"/>
    </row>
    <row r="21" s="197" customFormat="1" ht="23.25" customHeight="1" spans="1:10">
      <c r="A21" s="224" t="s">
        <v>123</v>
      </c>
      <c r="B21" s="218">
        <v>794</v>
      </c>
      <c r="C21" s="218">
        <v>883</v>
      </c>
      <c r="D21" s="218">
        <v>794</v>
      </c>
      <c r="E21" s="221">
        <f t="shared" ref="E21:E26" si="7">(D21-B21)/B21*100</f>
        <v>0</v>
      </c>
      <c r="F21" s="216" t="s">
        <v>124</v>
      </c>
      <c r="G21" s="218"/>
      <c r="H21" s="218"/>
      <c r="I21" s="218"/>
      <c r="J21" s="221"/>
    </row>
    <row r="22" s="197" customFormat="1" ht="23.25" customHeight="1" spans="1:10">
      <c r="A22" s="224" t="s">
        <v>125</v>
      </c>
      <c r="B22" s="148">
        <v>8886</v>
      </c>
      <c r="C22" s="148">
        <v>12006</v>
      </c>
      <c r="D22" s="226">
        <f>8135+4000</f>
        <v>12135</v>
      </c>
      <c r="E22" s="221">
        <f t="shared" si="7"/>
        <v>36.56</v>
      </c>
      <c r="F22" s="216" t="s">
        <v>126</v>
      </c>
      <c r="G22" s="218"/>
      <c r="H22" s="218"/>
      <c r="I22" s="218"/>
      <c r="J22" s="221"/>
    </row>
    <row r="23" s="197" customFormat="1" ht="23.25" customHeight="1" spans="1:10">
      <c r="A23" s="224" t="s">
        <v>127</v>
      </c>
      <c r="B23" s="148">
        <v>13134</v>
      </c>
      <c r="C23" s="148">
        <v>13954</v>
      </c>
      <c r="D23" s="148">
        <f>13134</f>
        <v>13134</v>
      </c>
      <c r="E23" s="221">
        <f t="shared" si="7"/>
        <v>0</v>
      </c>
      <c r="F23" s="227" t="s">
        <v>128</v>
      </c>
      <c r="G23" s="218"/>
      <c r="H23" s="218"/>
      <c r="I23" s="218"/>
      <c r="J23" s="221"/>
    </row>
    <row r="24" s="197" customFormat="1" ht="23.25" customHeight="1" spans="1:10">
      <c r="A24" s="594" t="s">
        <v>129</v>
      </c>
      <c r="B24" s="148">
        <v>877</v>
      </c>
      <c r="C24" s="148">
        <v>1003</v>
      </c>
      <c r="D24" s="148">
        <v>903</v>
      </c>
      <c r="E24" s="221">
        <f t="shared" si="7"/>
        <v>2.96</v>
      </c>
      <c r="F24" s="216" t="s">
        <v>130</v>
      </c>
      <c r="G24" s="218"/>
      <c r="H24" s="218"/>
      <c r="I24" s="218"/>
      <c r="J24" s="221"/>
    </row>
    <row r="25" s="197" customFormat="1" ht="23.25" customHeight="1" spans="1:10">
      <c r="A25" s="224" t="s">
        <v>131</v>
      </c>
      <c r="B25" s="148">
        <v>11487</v>
      </c>
      <c r="C25" s="148">
        <v>22256</v>
      </c>
      <c r="D25" s="226">
        <f>11487+10769</f>
        <v>22256</v>
      </c>
      <c r="E25" s="221">
        <f t="shared" si="7"/>
        <v>93.75</v>
      </c>
      <c r="F25" s="216" t="s">
        <v>132</v>
      </c>
      <c r="G25" s="218"/>
      <c r="H25" s="218"/>
      <c r="I25" s="218"/>
      <c r="J25" s="221"/>
    </row>
    <row r="26" s="197" customFormat="1" ht="23.25" customHeight="1" spans="1:10">
      <c r="A26" s="594" t="s">
        <v>133</v>
      </c>
      <c r="B26" s="218">
        <v>34729</v>
      </c>
      <c r="C26" s="218">
        <v>62174</v>
      </c>
      <c r="D26" s="218">
        <v>34839</v>
      </c>
      <c r="E26" s="221">
        <f t="shared" si="7"/>
        <v>0.32</v>
      </c>
      <c r="F26" s="216" t="s">
        <v>134</v>
      </c>
      <c r="G26" s="218"/>
      <c r="H26" s="218"/>
      <c r="I26" s="218"/>
      <c r="J26" s="221"/>
    </row>
    <row r="27" s="197" customFormat="1" ht="23.25" customHeight="1" spans="1:10">
      <c r="A27" s="224" t="s">
        <v>135</v>
      </c>
      <c r="B27" s="218"/>
      <c r="C27" s="218"/>
      <c r="D27" s="218"/>
      <c r="E27" s="221"/>
      <c r="F27" s="216" t="s">
        <v>136</v>
      </c>
      <c r="G27" s="218"/>
      <c r="H27" s="218"/>
      <c r="I27" s="218"/>
      <c r="J27" s="221"/>
    </row>
    <row r="28" s="197" customFormat="1" ht="23.25" customHeight="1" spans="1:10">
      <c r="A28" s="224" t="s">
        <v>137</v>
      </c>
      <c r="B28" s="218">
        <v>108</v>
      </c>
      <c r="C28" s="218">
        <v>1700</v>
      </c>
      <c r="D28" s="218">
        <v>8</v>
      </c>
      <c r="E28" s="221"/>
      <c r="F28" s="216" t="s">
        <v>138</v>
      </c>
      <c r="G28" s="218"/>
      <c r="H28" s="218"/>
      <c r="I28" s="218"/>
      <c r="J28" s="221"/>
    </row>
    <row r="29" s="197" customFormat="1" ht="23.25" customHeight="1" spans="1:10">
      <c r="A29" s="224" t="s">
        <v>139</v>
      </c>
      <c r="B29" s="218">
        <v>18263</v>
      </c>
      <c r="C29" s="218">
        <v>20340</v>
      </c>
      <c r="D29" s="223">
        <f>3241+10000</f>
        <v>13241</v>
      </c>
      <c r="E29" s="221">
        <f t="shared" ref="E29:E33" si="8">(D29-B29)/B29*100</f>
        <v>-27.5</v>
      </c>
      <c r="F29" s="216" t="s">
        <v>140</v>
      </c>
      <c r="G29" s="218"/>
      <c r="H29" s="218"/>
      <c r="I29" s="218"/>
      <c r="J29" s="221"/>
    </row>
    <row r="30" s="197" customFormat="1" ht="23.25" customHeight="1" spans="1:10">
      <c r="A30" s="594" t="s">
        <v>141</v>
      </c>
      <c r="B30" s="218"/>
      <c r="C30" s="218">
        <v>0</v>
      </c>
      <c r="D30" s="218"/>
      <c r="E30" s="221"/>
      <c r="F30" s="224" t="s">
        <v>142</v>
      </c>
      <c r="G30" s="218"/>
      <c r="H30" s="218"/>
      <c r="I30" s="218"/>
      <c r="J30" s="221"/>
    </row>
    <row r="31" s="197" customFormat="1" ht="23.25" customHeight="1" spans="1:10">
      <c r="A31" s="224" t="s">
        <v>143</v>
      </c>
      <c r="B31" s="218">
        <v>727</v>
      </c>
      <c r="C31" s="218">
        <v>853</v>
      </c>
      <c r="D31" s="218"/>
      <c r="E31" s="221">
        <f t="shared" si="8"/>
        <v>-100</v>
      </c>
      <c r="F31" s="224" t="s">
        <v>144</v>
      </c>
      <c r="G31" s="218"/>
      <c r="H31" s="218"/>
      <c r="I31" s="218"/>
      <c r="J31" s="221"/>
    </row>
    <row r="32" s="197" customFormat="1" ht="23.25" customHeight="1" spans="1:10">
      <c r="A32" s="224" t="s">
        <v>145</v>
      </c>
      <c r="B32" s="218">
        <v>22522</v>
      </c>
      <c r="C32" s="218">
        <v>30288</v>
      </c>
      <c r="D32" s="223">
        <f>22164+3000</f>
        <v>25164</v>
      </c>
      <c r="E32" s="221">
        <f t="shared" si="8"/>
        <v>11.73</v>
      </c>
      <c r="F32" s="224" t="s">
        <v>146</v>
      </c>
      <c r="G32" s="218"/>
      <c r="H32" s="218"/>
      <c r="I32" s="218"/>
      <c r="J32" s="221"/>
    </row>
    <row r="33" s="197" customFormat="1" ht="23.25" customHeight="1" spans="1:10">
      <c r="A33" s="224" t="s">
        <v>147</v>
      </c>
      <c r="B33" s="218">
        <v>7083</v>
      </c>
      <c r="C33" s="218">
        <v>7683</v>
      </c>
      <c r="D33" s="223">
        <f>4756+1000</f>
        <v>5756</v>
      </c>
      <c r="E33" s="221">
        <f t="shared" si="8"/>
        <v>-18.73</v>
      </c>
      <c r="F33" s="227" t="s">
        <v>148</v>
      </c>
      <c r="G33" s="218"/>
      <c r="H33" s="218"/>
      <c r="I33" s="218"/>
      <c r="J33" s="221"/>
    </row>
    <row r="34" s="197" customFormat="1" ht="23.25" customHeight="1" spans="1:10">
      <c r="A34" s="594" t="s">
        <v>149</v>
      </c>
      <c r="B34" s="218">
        <v>828</v>
      </c>
      <c r="C34" s="218">
        <v>1194</v>
      </c>
      <c r="D34" s="218">
        <v>1660</v>
      </c>
      <c r="E34" s="221"/>
      <c r="F34" s="224" t="s">
        <v>150</v>
      </c>
      <c r="G34" s="218"/>
      <c r="H34" s="218"/>
      <c r="I34" s="218"/>
      <c r="J34" s="221"/>
    </row>
    <row r="35" s="197" customFormat="1" ht="23.25" customHeight="1" spans="1:10">
      <c r="A35" s="594" t="s">
        <v>151</v>
      </c>
      <c r="B35" s="218">
        <v>5231</v>
      </c>
      <c r="C35" s="218">
        <v>18826</v>
      </c>
      <c r="D35" s="223">
        <f>5122+7121</f>
        <v>12243</v>
      </c>
      <c r="E35" s="221">
        <f>(D35-B35)/B35*100</f>
        <v>134.05</v>
      </c>
      <c r="F35" s="224" t="s">
        <v>152</v>
      </c>
      <c r="G35" s="218"/>
      <c r="H35" s="218"/>
      <c r="I35" s="218"/>
      <c r="J35" s="221"/>
    </row>
    <row r="36" s="197" customFormat="1" ht="23.25" customHeight="1" spans="1:10">
      <c r="A36" s="594" t="s">
        <v>153</v>
      </c>
      <c r="B36" s="218">
        <v>776</v>
      </c>
      <c r="C36" s="218">
        <v>7426</v>
      </c>
      <c r="D36" s="218">
        <v>791</v>
      </c>
      <c r="E36" s="221"/>
      <c r="F36" s="224" t="s">
        <v>154</v>
      </c>
      <c r="G36" s="218"/>
      <c r="H36" s="218"/>
      <c r="I36" s="218"/>
      <c r="J36" s="221"/>
    </row>
    <row r="37" s="197" customFormat="1" ht="23.25" customHeight="1" spans="1:10">
      <c r="A37" s="224" t="s">
        <v>155</v>
      </c>
      <c r="B37" s="218">
        <v>194</v>
      </c>
      <c r="C37" s="218">
        <v>509</v>
      </c>
      <c r="D37" s="218">
        <v>492</v>
      </c>
      <c r="E37" s="221">
        <f>(D37-B37)/B37*100</f>
        <v>153.61</v>
      </c>
      <c r="F37" s="224" t="s">
        <v>156</v>
      </c>
      <c r="G37" s="218"/>
      <c r="H37" s="218"/>
      <c r="I37" s="218"/>
      <c r="J37" s="221"/>
    </row>
    <row r="38" s="197" customFormat="1" ht="23.25" customHeight="1" spans="1:10">
      <c r="A38" s="594" t="s">
        <v>157</v>
      </c>
      <c r="B38" s="218"/>
      <c r="C38" s="218">
        <v>115</v>
      </c>
      <c r="D38" s="218"/>
      <c r="E38" s="221"/>
      <c r="F38" s="216" t="s">
        <v>160</v>
      </c>
      <c r="G38" s="218"/>
      <c r="H38" s="218"/>
      <c r="I38" s="218"/>
      <c r="J38" s="221"/>
    </row>
    <row r="39" s="197" customFormat="1" ht="23.25" customHeight="1" spans="1:10">
      <c r="A39" s="594" t="s">
        <v>159</v>
      </c>
      <c r="B39" s="218"/>
      <c r="C39" s="218"/>
      <c r="D39" s="218"/>
      <c r="E39" s="221"/>
      <c r="F39" s="224"/>
      <c r="G39" s="218"/>
      <c r="H39" s="218"/>
      <c r="I39" s="218"/>
      <c r="J39" s="221"/>
    </row>
    <row r="40" s="197" customFormat="1" ht="23.25" customHeight="1" spans="1:10">
      <c r="A40" s="594" t="s">
        <v>161</v>
      </c>
      <c r="B40" s="218"/>
      <c r="C40" s="218"/>
      <c r="D40" s="218"/>
      <c r="E40" s="221"/>
      <c r="F40" s="224"/>
      <c r="G40" s="218"/>
      <c r="H40" s="218"/>
      <c r="I40" s="218"/>
      <c r="J40" s="221"/>
    </row>
    <row r="41" s="197" customFormat="1" ht="23.25" customHeight="1" spans="1:10">
      <c r="A41" s="594" t="s">
        <v>162</v>
      </c>
      <c r="B41" s="218"/>
      <c r="C41" s="218"/>
      <c r="D41" s="218"/>
      <c r="E41" s="221"/>
      <c r="F41" s="224"/>
      <c r="G41" s="218"/>
      <c r="H41" s="218"/>
      <c r="I41" s="218"/>
      <c r="J41" s="221"/>
    </row>
    <row r="42" s="197" customFormat="1" ht="23.25" customHeight="1" spans="1:10">
      <c r="A42" s="224" t="s">
        <v>163</v>
      </c>
      <c r="B42" s="218">
        <v>5614</v>
      </c>
      <c r="C42" s="218">
        <v>1241</v>
      </c>
      <c r="D42" s="218">
        <v>230</v>
      </c>
      <c r="E42" s="221">
        <f t="shared" ref="E42:E44" si="9">(D42-B42)/B42*100</f>
        <v>-95.9</v>
      </c>
      <c r="F42" s="216"/>
      <c r="G42" s="218"/>
      <c r="H42" s="218"/>
      <c r="I42" s="218"/>
      <c r="J42" s="221"/>
    </row>
    <row r="43" s="197" customFormat="1" ht="23.25" customHeight="1" spans="1:10">
      <c r="A43" s="229" t="s">
        <v>164</v>
      </c>
      <c r="B43" s="210">
        <f t="shared" ref="B43:I43" si="10">SUM(B44:B64)</f>
        <v>24662</v>
      </c>
      <c r="C43" s="210">
        <f t="shared" si="10"/>
        <v>24978</v>
      </c>
      <c r="D43" s="210">
        <f t="shared" si="10"/>
        <v>1373</v>
      </c>
      <c r="E43" s="212">
        <f t="shared" si="9"/>
        <v>-94.43</v>
      </c>
      <c r="F43" s="215" t="s">
        <v>165</v>
      </c>
      <c r="G43" s="210">
        <f t="shared" si="10"/>
        <v>0</v>
      </c>
      <c r="H43" s="210">
        <f t="shared" si="10"/>
        <v>0</v>
      </c>
      <c r="I43" s="210">
        <f t="shared" si="10"/>
        <v>0</v>
      </c>
      <c r="J43" s="212"/>
    </row>
    <row r="44" s="197" customFormat="1" ht="23.25" customHeight="1" spans="1:10">
      <c r="A44" s="224" t="s">
        <v>166</v>
      </c>
      <c r="B44" s="218">
        <v>75</v>
      </c>
      <c r="C44" s="218">
        <v>76</v>
      </c>
      <c r="D44" s="218">
        <v>55</v>
      </c>
      <c r="E44" s="221">
        <f t="shared" si="9"/>
        <v>-26.67</v>
      </c>
      <c r="F44" s="216" t="s">
        <v>166</v>
      </c>
      <c r="G44" s="218"/>
      <c r="H44" s="218"/>
      <c r="I44" s="218"/>
      <c r="J44" s="221"/>
    </row>
    <row r="45" s="197" customFormat="1" ht="23.25" customHeight="1" spans="1:10">
      <c r="A45" s="224" t="s">
        <v>167</v>
      </c>
      <c r="B45" s="218"/>
      <c r="C45" s="218">
        <v>0</v>
      </c>
      <c r="D45" s="218"/>
      <c r="E45" s="221"/>
      <c r="F45" s="216" t="s">
        <v>167</v>
      </c>
      <c r="G45" s="218"/>
      <c r="H45" s="218"/>
      <c r="I45" s="218"/>
      <c r="J45" s="221"/>
    </row>
    <row r="46" s="197" customFormat="1" ht="23.25" customHeight="1" spans="1:10">
      <c r="A46" s="224" t="s">
        <v>168</v>
      </c>
      <c r="B46" s="218"/>
      <c r="C46" s="218">
        <v>0</v>
      </c>
      <c r="D46" s="218"/>
      <c r="E46" s="221"/>
      <c r="F46" s="216" t="s">
        <v>168</v>
      </c>
      <c r="G46" s="218"/>
      <c r="H46" s="218"/>
      <c r="I46" s="218"/>
      <c r="J46" s="221"/>
    </row>
    <row r="47" s="197" customFormat="1" ht="23.25" customHeight="1" spans="1:10">
      <c r="A47" s="224" t="s">
        <v>169</v>
      </c>
      <c r="B47" s="218"/>
      <c r="C47" s="218">
        <v>0</v>
      </c>
      <c r="D47" s="218"/>
      <c r="E47" s="221"/>
      <c r="F47" s="216" t="s">
        <v>169</v>
      </c>
      <c r="G47" s="218"/>
      <c r="H47" s="218"/>
      <c r="I47" s="218"/>
      <c r="J47" s="221"/>
    </row>
    <row r="48" s="197" customFormat="1" ht="23.25" customHeight="1" spans="1:10">
      <c r="A48" s="224" t="s">
        <v>170</v>
      </c>
      <c r="B48" s="148">
        <v>1000</v>
      </c>
      <c r="C48" s="148">
        <v>0</v>
      </c>
      <c r="D48" s="148"/>
      <c r="E48" s="221"/>
      <c r="F48" s="216" t="s">
        <v>170</v>
      </c>
      <c r="G48" s="218"/>
      <c r="H48" s="218"/>
      <c r="I48" s="218"/>
      <c r="J48" s="221"/>
    </row>
    <row r="49" s="197" customFormat="1" ht="23.25" customHeight="1" spans="1:10">
      <c r="A49" s="224" t="s">
        <v>171</v>
      </c>
      <c r="B49" s="148"/>
      <c r="C49" s="148">
        <v>0</v>
      </c>
      <c r="D49" s="148"/>
      <c r="E49" s="221"/>
      <c r="F49" s="216" t="s">
        <v>171</v>
      </c>
      <c r="G49" s="218"/>
      <c r="H49" s="218"/>
      <c r="I49" s="218"/>
      <c r="J49" s="221"/>
    </row>
    <row r="50" s="197" customFormat="1" ht="23.25" customHeight="1" spans="1:10">
      <c r="A50" s="594" t="s">
        <v>172</v>
      </c>
      <c r="B50" s="36">
        <v>2000</v>
      </c>
      <c r="C50" s="36">
        <v>1000</v>
      </c>
      <c r="D50" s="36"/>
      <c r="E50" s="221"/>
      <c r="F50" s="216" t="s">
        <v>173</v>
      </c>
      <c r="G50" s="218"/>
      <c r="H50" s="218"/>
      <c r="I50" s="218"/>
      <c r="J50" s="221"/>
    </row>
    <row r="51" s="197" customFormat="1" ht="23.25" customHeight="1" spans="1:10">
      <c r="A51" s="224" t="s">
        <v>174</v>
      </c>
      <c r="B51" s="36">
        <v>178</v>
      </c>
      <c r="C51" s="36">
        <v>68</v>
      </c>
      <c r="D51" s="159">
        <v>28</v>
      </c>
      <c r="E51" s="221">
        <f t="shared" ref="E51:E55" si="11">(D51-B51)/B51*100</f>
        <v>-84.27</v>
      </c>
      <c r="F51" s="216" t="s">
        <v>174</v>
      </c>
      <c r="G51" s="218"/>
      <c r="H51" s="218"/>
      <c r="I51" s="218"/>
      <c r="J51" s="221"/>
    </row>
    <row r="52" s="197" customFormat="1" ht="23.25" customHeight="1" spans="1:10">
      <c r="A52" s="594" t="s">
        <v>175</v>
      </c>
      <c r="B52" s="36">
        <v>253</v>
      </c>
      <c r="C52" s="36">
        <v>286</v>
      </c>
      <c r="D52" s="159"/>
      <c r="E52" s="221">
        <f t="shared" si="11"/>
        <v>-100</v>
      </c>
      <c r="F52" s="216" t="s">
        <v>176</v>
      </c>
      <c r="G52" s="218"/>
      <c r="H52" s="218"/>
      <c r="I52" s="218"/>
      <c r="J52" s="221"/>
    </row>
    <row r="53" s="197" customFormat="1" ht="23.25" customHeight="1" spans="1:10">
      <c r="A53" s="224" t="s">
        <v>177</v>
      </c>
      <c r="B53" s="36">
        <v>118</v>
      </c>
      <c r="C53" s="36">
        <v>610</v>
      </c>
      <c r="D53" s="159">
        <v>20</v>
      </c>
      <c r="E53" s="221">
        <f t="shared" si="11"/>
        <v>-83.05</v>
      </c>
      <c r="F53" s="216" t="s">
        <v>177</v>
      </c>
      <c r="G53" s="218"/>
      <c r="H53" s="218"/>
      <c r="I53" s="218"/>
      <c r="J53" s="221"/>
    </row>
    <row r="54" s="197" customFormat="1" ht="23.25" customHeight="1" spans="1:10">
      <c r="A54" s="224" t="s">
        <v>178</v>
      </c>
      <c r="B54" s="36"/>
      <c r="C54" s="36">
        <v>207</v>
      </c>
      <c r="D54" s="159"/>
      <c r="E54" s="221" t="e">
        <f t="shared" si="11"/>
        <v>#DIV/0!</v>
      </c>
      <c r="F54" s="216" t="s">
        <v>178</v>
      </c>
      <c r="G54" s="218"/>
      <c r="H54" s="218"/>
      <c r="I54" s="218"/>
      <c r="J54" s="221"/>
    </row>
    <row r="55" s="197" customFormat="1" ht="23.25" customHeight="1" spans="1:10">
      <c r="A55" s="224" t="s">
        <v>179</v>
      </c>
      <c r="B55" s="36">
        <v>18926</v>
      </c>
      <c r="C55" s="36">
        <v>19177</v>
      </c>
      <c r="D55" s="159">
        <v>1120</v>
      </c>
      <c r="E55" s="221">
        <f t="shared" si="11"/>
        <v>-94.08</v>
      </c>
      <c r="F55" s="216" t="s">
        <v>179</v>
      </c>
      <c r="G55" s="218"/>
      <c r="H55" s="218"/>
      <c r="I55" s="218"/>
      <c r="J55" s="221"/>
    </row>
    <row r="56" s="197" customFormat="1" ht="23.25" customHeight="1" spans="1:10">
      <c r="A56" s="224" t="s">
        <v>180</v>
      </c>
      <c r="B56" s="148">
        <v>87</v>
      </c>
      <c r="C56" s="148">
        <v>432</v>
      </c>
      <c r="D56" s="148">
        <v>85</v>
      </c>
      <c r="E56" s="221"/>
      <c r="F56" s="224" t="s">
        <v>180</v>
      </c>
      <c r="G56" s="218"/>
      <c r="H56" s="218"/>
      <c r="I56" s="218"/>
      <c r="J56" s="221"/>
    </row>
    <row r="57" s="197" customFormat="1" ht="23.25" customHeight="1" spans="1:10">
      <c r="A57" s="224" t="s">
        <v>181</v>
      </c>
      <c r="B57" s="218"/>
      <c r="C57" s="218">
        <v>221</v>
      </c>
      <c r="D57" s="218"/>
      <c r="E57" s="221"/>
      <c r="F57" s="224" t="s">
        <v>181</v>
      </c>
      <c r="G57" s="218"/>
      <c r="H57" s="218"/>
      <c r="I57" s="218"/>
      <c r="J57" s="221"/>
    </row>
    <row r="58" s="197" customFormat="1" ht="23.25" customHeight="1" spans="1:10">
      <c r="A58" s="224" t="s">
        <v>182</v>
      </c>
      <c r="B58" s="218"/>
      <c r="C58" s="218">
        <v>0</v>
      </c>
      <c r="D58" s="218"/>
      <c r="E58" s="221"/>
      <c r="F58" s="224" t="s">
        <v>182</v>
      </c>
      <c r="G58" s="218"/>
      <c r="H58" s="218"/>
      <c r="I58" s="218"/>
      <c r="J58" s="221"/>
    </row>
    <row r="59" s="197" customFormat="1" ht="23.25" customHeight="1" spans="1:10">
      <c r="A59" s="224" t="s">
        <v>183</v>
      </c>
      <c r="B59" s="218"/>
      <c r="C59" s="218">
        <v>543</v>
      </c>
      <c r="D59" s="218"/>
      <c r="E59" s="221"/>
      <c r="F59" s="224" t="s">
        <v>183</v>
      </c>
      <c r="G59" s="218"/>
      <c r="H59" s="218"/>
      <c r="I59" s="218"/>
      <c r="J59" s="221"/>
    </row>
    <row r="60" s="197" customFormat="1" ht="23.25" customHeight="1" spans="1:10">
      <c r="A60" s="594" t="s">
        <v>184</v>
      </c>
      <c r="B60" s="218">
        <v>56</v>
      </c>
      <c r="C60" s="218">
        <v>56</v>
      </c>
      <c r="D60" s="218">
        <v>5</v>
      </c>
      <c r="E60" s="221">
        <f t="shared" ref="E60:E66" si="12">(D60-B60)/B60*100</f>
        <v>-91.07</v>
      </c>
      <c r="F60" s="224" t="s">
        <v>185</v>
      </c>
      <c r="G60" s="218"/>
      <c r="H60" s="218"/>
      <c r="I60" s="218"/>
      <c r="J60" s="221"/>
    </row>
    <row r="61" s="197" customFormat="1" ht="23.25" customHeight="1" spans="1:10">
      <c r="A61" s="224" t="s">
        <v>186</v>
      </c>
      <c r="B61" s="218">
        <v>70</v>
      </c>
      <c r="C61" s="218">
        <v>318</v>
      </c>
      <c r="D61" s="218"/>
      <c r="E61" s="221"/>
      <c r="F61" s="224" t="s">
        <v>186</v>
      </c>
      <c r="G61" s="218"/>
      <c r="H61" s="218"/>
      <c r="I61" s="218"/>
      <c r="J61" s="221"/>
    </row>
    <row r="62" s="197" customFormat="1" ht="23.25" customHeight="1" spans="1:10">
      <c r="A62" s="224" t="s">
        <v>187</v>
      </c>
      <c r="B62" s="218">
        <v>30</v>
      </c>
      <c r="C62" s="218">
        <v>30</v>
      </c>
      <c r="D62" s="218"/>
      <c r="E62" s="221"/>
      <c r="F62" s="224" t="s">
        <v>187</v>
      </c>
      <c r="G62" s="218"/>
      <c r="H62" s="218"/>
      <c r="I62" s="218"/>
      <c r="J62" s="221"/>
    </row>
    <row r="63" s="197" customFormat="1" ht="23.25" customHeight="1" spans="1:10">
      <c r="A63" s="224" t="s">
        <v>188</v>
      </c>
      <c r="B63" s="218">
        <v>1869</v>
      </c>
      <c r="C63" s="218">
        <v>1954</v>
      </c>
      <c r="D63" s="218">
        <v>60</v>
      </c>
      <c r="E63" s="221">
        <f t="shared" si="12"/>
        <v>-96.79</v>
      </c>
      <c r="F63" s="224" t="s">
        <v>188</v>
      </c>
      <c r="G63" s="218"/>
      <c r="H63" s="218"/>
      <c r="I63" s="218"/>
      <c r="J63" s="221"/>
    </row>
    <row r="64" s="197" customFormat="1" ht="23.25" customHeight="1" spans="1:10">
      <c r="A64" s="595" t="s">
        <v>189</v>
      </c>
      <c r="B64" s="218"/>
      <c r="C64" s="218"/>
      <c r="D64" s="218"/>
      <c r="E64" s="221"/>
      <c r="F64" s="216" t="s">
        <v>189</v>
      </c>
      <c r="G64" s="218"/>
      <c r="H64" s="218"/>
      <c r="I64" s="218"/>
      <c r="J64" s="221"/>
    </row>
    <row r="65" s="197" customFormat="1" ht="23.25" customHeight="1" spans="1:10">
      <c r="A65" s="596" t="s">
        <v>190</v>
      </c>
      <c r="B65" s="210">
        <f>B66+B67</f>
        <v>8152</v>
      </c>
      <c r="C65" s="210">
        <f>C66+C67</f>
        <v>200</v>
      </c>
      <c r="D65" s="210">
        <f>D66+D67</f>
        <v>11463</v>
      </c>
      <c r="E65" s="212">
        <f t="shared" si="12"/>
        <v>40.62</v>
      </c>
      <c r="F65" s="215" t="s">
        <v>191</v>
      </c>
      <c r="G65" s="210"/>
      <c r="H65" s="210"/>
      <c r="I65" s="210"/>
      <c r="J65" s="212"/>
    </row>
    <row r="66" s="197" customFormat="1" ht="23.25" customHeight="1" spans="1:10">
      <c r="A66" s="597" t="s">
        <v>192</v>
      </c>
      <c r="B66" s="218">
        <v>8152</v>
      </c>
      <c r="C66" s="218"/>
      <c r="D66" s="234">
        <v>11463</v>
      </c>
      <c r="E66" s="221">
        <f t="shared" si="12"/>
        <v>40.62</v>
      </c>
      <c r="F66" s="216"/>
      <c r="G66" s="218"/>
      <c r="H66" s="218"/>
      <c r="I66" s="218"/>
      <c r="J66" s="221"/>
    </row>
    <row r="67" s="197" customFormat="1" ht="23.25" customHeight="1" spans="1:10">
      <c r="A67" s="597" t="s">
        <v>193</v>
      </c>
      <c r="B67" s="218"/>
      <c r="C67" s="218">
        <v>200</v>
      </c>
      <c r="D67" s="218"/>
      <c r="E67" s="221"/>
      <c r="F67" s="216"/>
      <c r="G67" s="218"/>
      <c r="H67" s="218"/>
      <c r="I67" s="218"/>
      <c r="J67" s="221"/>
    </row>
    <row r="68" s="197" customFormat="1" ht="23.25" customHeight="1" spans="1:10">
      <c r="A68" s="591" t="s">
        <v>194</v>
      </c>
      <c r="B68" s="210">
        <f>B69+B70+B72</f>
        <v>0</v>
      </c>
      <c r="C68" s="210">
        <f>C69+C70+C72</f>
        <v>13978</v>
      </c>
      <c r="D68" s="210">
        <f>D69+D70+D72</f>
        <v>0</v>
      </c>
      <c r="E68" s="212"/>
      <c r="F68" s="235" t="s">
        <v>195</v>
      </c>
      <c r="G68" s="210">
        <f t="shared" ref="G68:I68" si="13">SUM(G69:G72)</f>
        <v>1400</v>
      </c>
      <c r="H68" s="210">
        <f t="shared" si="13"/>
        <v>14501</v>
      </c>
      <c r="I68" s="210">
        <f t="shared" si="13"/>
        <v>800</v>
      </c>
      <c r="J68" s="212">
        <f>(I68-G68)/G68*100</f>
        <v>-42.86</v>
      </c>
    </row>
    <row r="69" s="197" customFormat="1" ht="23.25" customHeight="1" spans="1:10">
      <c r="A69" s="216" t="s">
        <v>196</v>
      </c>
      <c r="B69" s="218"/>
      <c r="C69" s="218">
        <v>13077</v>
      </c>
      <c r="D69" s="218"/>
      <c r="E69" s="221"/>
      <c r="F69" s="597" t="s">
        <v>197</v>
      </c>
      <c r="G69" s="218">
        <v>1400</v>
      </c>
      <c r="H69" s="218">
        <v>13600</v>
      </c>
      <c r="I69" s="218">
        <v>800</v>
      </c>
      <c r="J69" s="221">
        <f>(I69-G69)/G69*100</f>
        <v>-42.86</v>
      </c>
    </row>
    <row r="70" s="197" customFormat="1" ht="23.25" customHeight="1" spans="1:10">
      <c r="A70" s="598" t="s">
        <v>198</v>
      </c>
      <c r="B70" s="218"/>
      <c r="C70" s="218"/>
      <c r="D70" s="218"/>
      <c r="E70" s="221"/>
      <c r="F70" s="216" t="s">
        <v>199</v>
      </c>
      <c r="G70" s="218"/>
      <c r="H70" s="218"/>
      <c r="I70" s="218"/>
      <c r="J70" s="221"/>
    </row>
    <row r="71" s="197" customFormat="1" ht="23.25" customHeight="1" spans="1:10">
      <c r="A71" s="598" t="s">
        <v>200</v>
      </c>
      <c r="B71" s="218"/>
      <c r="C71" s="218"/>
      <c r="D71" s="218"/>
      <c r="E71" s="221"/>
      <c r="F71" s="216" t="s">
        <v>201</v>
      </c>
      <c r="G71" s="218"/>
      <c r="H71" s="218"/>
      <c r="I71" s="218"/>
      <c r="J71" s="221"/>
    </row>
    <row r="72" s="197" customFormat="1" ht="23.25" customHeight="1" spans="1:10">
      <c r="A72" s="598" t="s">
        <v>202</v>
      </c>
      <c r="B72" s="218"/>
      <c r="C72" s="218">
        <v>901</v>
      </c>
      <c r="D72" s="218"/>
      <c r="E72" s="221"/>
      <c r="F72" s="216" t="s">
        <v>203</v>
      </c>
      <c r="G72" s="218"/>
      <c r="H72" s="218">
        <v>901</v>
      </c>
      <c r="I72" s="218"/>
      <c r="J72" s="221"/>
    </row>
    <row r="73" s="196" customFormat="1" ht="23.25" customHeight="1" spans="1:10">
      <c r="A73" s="229" t="s">
        <v>204</v>
      </c>
      <c r="B73" s="210"/>
      <c r="C73" s="210"/>
      <c r="D73" s="210"/>
      <c r="E73" s="212"/>
      <c r="F73" s="216"/>
      <c r="G73" s="218"/>
      <c r="H73" s="218"/>
      <c r="I73" s="218"/>
      <c r="J73" s="221"/>
    </row>
    <row r="74" s="196" customFormat="1" ht="23.25" customHeight="1" spans="1:10">
      <c r="A74" s="224" t="s">
        <v>205</v>
      </c>
      <c r="B74" s="218"/>
      <c r="C74" s="218"/>
      <c r="D74" s="218"/>
      <c r="E74" s="221"/>
      <c r="F74" s="216"/>
      <c r="G74" s="236"/>
      <c r="H74" s="236"/>
      <c r="I74" s="236"/>
      <c r="J74" s="221"/>
    </row>
    <row r="75" s="196" customFormat="1" ht="23.25" customHeight="1" spans="1:10">
      <c r="A75" s="218" t="s">
        <v>206</v>
      </c>
      <c r="B75" s="218"/>
      <c r="C75" s="218"/>
      <c r="D75" s="218"/>
      <c r="E75" s="221"/>
      <c r="F75" s="216"/>
      <c r="G75" s="218"/>
      <c r="H75" s="218"/>
      <c r="I75" s="218"/>
      <c r="J75" s="221"/>
    </row>
    <row r="76" s="196" customFormat="1" ht="23.25" customHeight="1" spans="1:10">
      <c r="A76" s="596" t="s">
        <v>207</v>
      </c>
      <c r="B76" s="210">
        <v>1513</v>
      </c>
      <c r="C76" s="210">
        <v>1513</v>
      </c>
      <c r="D76" s="211">
        <v>2151</v>
      </c>
      <c r="E76" s="212">
        <f t="shared" ref="E76:E78" si="14">(D76-B76)/B76*100</f>
        <v>42.17</v>
      </c>
      <c r="F76" s="596" t="s">
        <v>208</v>
      </c>
      <c r="G76" s="210"/>
      <c r="H76" s="210">
        <v>2151</v>
      </c>
      <c r="I76" s="210"/>
      <c r="J76" s="212"/>
    </row>
    <row r="77" s="196" customFormat="1" ht="23.25" customHeight="1" spans="1:10">
      <c r="A77" s="214" t="s">
        <v>209</v>
      </c>
      <c r="B77" s="210">
        <f>SUM(B78:B79)</f>
        <v>74831</v>
      </c>
      <c r="C77" s="210">
        <f>SUM(C78:C79)</f>
        <v>86680</v>
      </c>
      <c r="D77" s="210">
        <f>SUM(D78:D79)</f>
        <v>102871</v>
      </c>
      <c r="E77" s="212">
        <f t="shared" si="14"/>
        <v>37.47</v>
      </c>
      <c r="F77" s="215" t="s">
        <v>210</v>
      </c>
      <c r="G77" s="210">
        <f t="shared" ref="G77:I77" si="15">G78+G79</f>
        <v>0</v>
      </c>
      <c r="H77" s="210">
        <f t="shared" si="15"/>
        <v>102871</v>
      </c>
      <c r="I77" s="210">
        <f t="shared" si="15"/>
        <v>0</v>
      </c>
      <c r="J77" s="212"/>
    </row>
    <row r="78" s="196" customFormat="1" ht="23.25" customHeight="1" spans="1:10">
      <c r="A78" s="219" t="s">
        <v>211</v>
      </c>
      <c r="B78" s="218">
        <v>74831</v>
      </c>
      <c r="C78" s="218">
        <v>86680</v>
      </c>
      <c r="D78" s="218">
        <v>102871</v>
      </c>
      <c r="E78" s="221">
        <f t="shared" si="14"/>
        <v>37.47</v>
      </c>
      <c r="F78" s="216" t="s">
        <v>212</v>
      </c>
      <c r="G78" s="218"/>
      <c r="H78" s="218">
        <v>102871</v>
      </c>
      <c r="I78" s="218"/>
      <c r="J78" s="221"/>
    </row>
    <row r="79" s="196" customFormat="1" ht="23.25" customHeight="1" spans="1:10">
      <c r="A79" s="219" t="s">
        <v>213</v>
      </c>
      <c r="B79" s="218"/>
      <c r="C79" s="218"/>
      <c r="D79" s="218"/>
      <c r="E79" s="221"/>
      <c r="F79" s="216" t="s">
        <v>213</v>
      </c>
      <c r="G79" s="218"/>
      <c r="H79" s="218"/>
      <c r="I79" s="218"/>
      <c r="J79" s="221"/>
    </row>
    <row r="80" s="196" customFormat="1" ht="23.25" customHeight="1" spans="1:10">
      <c r="A80" s="237"/>
      <c r="B80" s="218"/>
      <c r="C80" s="218"/>
      <c r="D80" s="218"/>
      <c r="E80" s="221"/>
      <c r="F80" s="238"/>
      <c r="G80" s="218"/>
      <c r="H80" s="218"/>
      <c r="I80" s="218"/>
      <c r="J80" s="221"/>
    </row>
    <row r="81" s="196" customFormat="1" ht="23.25" customHeight="1" spans="1:10">
      <c r="A81" s="239" t="s">
        <v>214</v>
      </c>
      <c r="B81" s="210">
        <f>SUM(B5+B6)</f>
        <v>342967</v>
      </c>
      <c r="C81" s="210">
        <f>SUM(C5+C6)</f>
        <v>451023</v>
      </c>
      <c r="D81" s="210">
        <f>SUM(D5+D6)</f>
        <v>370616</v>
      </c>
      <c r="E81" s="212">
        <f>(D81-B81)/B81*100</f>
        <v>8.06</v>
      </c>
      <c r="F81" s="239" t="s">
        <v>215</v>
      </c>
      <c r="G81" s="213">
        <f t="shared" ref="G81:I81" si="16">SUM(G5+G6+G76+G77)</f>
        <v>342967</v>
      </c>
      <c r="H81" s="213">
        <f t="shared" si="16"/>
        <v>451023</v>
      </c>
      <c r="I81" s="213">
        <f t="shared" si="16"/>
        <v>370616</v>
      </c>
      <c r="J81" s="212">
        <f>(I81-G81)/G81*100</f>
        <v>8.06</v>
      </c>
    </row>
    <row r="82" s="196" customFormat="1" spans="9:9">
      <c r="I82" s="196">
        <f>D81-I81</f>
        <v>0</v>
      </c>
    </row>
  </sheetData>
  <mergeCells count="4">
    <mergeCell ref="A1:J1"/>
    <mergeCell ref="G2:J2"/>
    <mergeCell ref="A3:B3"/>
    <mergeCell ref="F3:J3"/>
  </mergeCells>
  <pageMargins left="0.75" right="0.75" top="1" bottom="1" header="0.5" footer="0.5"/>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zoomScale="110" zoomScaleNormal="110" zoomScaleSheetLayoutView="60" topLeftCell="A7" workbookViewId="0">
      <selection activeCell="A9" sqref="A9"/>
    </sheetView>
  </sheetViews>
  <sheetFormatPr defaultColWidth="9" defaultRowHeight="12.5"/>
  <cols>
    <col min="1" max="1" width="35.3416666666667" style="196" customWidth="1"/>
    <col min="2" max="3" width="11.025" style="196" customWidth="1"/>
    <col min="4" max="5" width="10.625" style="196" customWidth="1"/>
    <col min="6" max="6" width="32.625" style="196" customWidth="1"/>
    <col min="7" max="7" width="10.75" style="196" customWidth="1"/>
    <col min="8" max="10" width="10.375" style="196" customWidth="1"/>
    <col min="11" max="11" width="9" style="196"/>
    <col min="12" max="12" width="8.875" style="196" customWidth="1"/>
    <col min="13" max="16384" width="9" style="196"/>
  </cols>
  <sheetData>
    <row r="1" s="196" customFormat="1" ht="24.75" customHeight="1" spans="1:10">
      <c r="A1" s="587" t="s">
        <v>4146</v>
      </c>
      <c r="B1" s="198"/>
      <c r="C1" s="198"/>
      <c r="D1" s="198"/>
      <c r="E1" s="198"/>
      <c r="F1" s="198"/>
      <c r="G1" s="198"/>
      <c r="H1" s="198"/>
      <c r="I1" s="198"/>
      <c r="J1" s="198"/>
    </row>
    <row r="2" s="196" customFormat="1" ht="17.25" customHeight="1" spans="1:10">
      <c r="A2" s="199"/>
      <c r="B2" s="200"/>
      <c r="C2" s="200"/>
      <c r="D2" s="200"/>
      <c r="E2" s="200"/>
      <c r="F2" s="200"/>
      <c r="G2" s="201" t="s">
        <v>51</v>
      </c>
      <c r="H2" s="201"/>
      <c r="I2" s="201"/>
      <c r="J2" s="201"/>
    </row>
    <row r="3" s="196" customFormat="1" ht="18" customHeight="1" spans="1:10">
      <c r="A3" s="202" t="s">
        <v>4141</v>
      </c>
      <c r="B3" s="203"/>
      <c r="C3" s="203"/>
      <c r="D3" s="203"/>
      <c r="E3" s="203"/>
      <c r="F3" s="204" t="s">
        <v>4142</v>
      </c>
      <c r="G3" s="205"/>
      <c r="H3" s="205"/>
      <c r="I3" s="205"/>
      <c r="J3" s="231"/>
    </row>
    <row r="4" s="196" customFormat="1" ht="30" customHeight="1" spans="1:10">
      <c r="A4" s="206" t="s">
        <v>52</v>
      </c>
      <c r="B4" s="207" t="s">
        <v>217</v>
      </c>
      <c r="C4" s="641" t="s">
        <v>1010</v>
      </c>
      <c r="D4" s="207" t="s">
        <v>1068</v>
      </c>
      <c r="E4" s="208" t="s">
        <v>4143</v>
      </c>
      <c r="F4" s="206" t="s">
        <v>52</v>
      </c>
      <c r="G4" s="207" t="s">
        <v>217</v>
      </c>
      <c r="H4" s="641" t="s">
        <v>1010</v>
      </c>
      <c r="I4" s="207" t="s">
        <v>1068</v>
      </c>
      <c r="J4" s="208" t="s">
        <v>4143</v>
      </c>
    </row>
    <row r="5" s="197" customFormat="1" ht="26.25" customHeight="1" spans="1:10">
      <c r="A5" s="209" t="s">
        <v>92</v>
      </c>
      <c r="B5" s="210">
        <v>24320</v>
      </c>
      <c r="C5" s="210">
        <v>21946</v>
      </c>
      <c r="D5" s="211">
        <v>22098</v>
      </c>
      <c r="E5" s="212">
        <f t="shared" ref="E5:E18" si="0">(D5-B5)/B5*100</f>
        <v>-9.14</v>
      </c>
      <c r="F5" s="209" t="s">
        <v>93</v>
      </c>
      <c r="G5" s="213">
        <v>338323</v>
      </c>
      <c r="H5" s="213">
        <v>327347</v>
      </c>
      <c r="I5" s="232">
        <v>365680</v>
      </c>
      <c r="J5" s="212">
        <f t="shared" ref="J5:J8" si="1">(I5-G5)/G5*100</f>
        <v>8.09</v>
      </c>
    </row>
    <row r="6" s="197" customFormat="1" ht="26.25" customHeight="1" spans="1:10">
      <c r="A6" s="214" t="s">
        <v>94</v>
      </c>
      <c r="B6" s="210">
        <f>SUM(B7++B65+B68+B73+B77+B76)</f>
        <v>318647</v>
      </c>
      <c r="C6" s="210">
        <f>SUM(C7++C65+C68+C73+C77+C76)</f>
        <v>429077</v>
      </c>
      <c r="D6" s="210">
        <f>SUM(D7++D65+D68+D73+D77+D76)</f>
        <v>348518</v>
      </c>
      <c r="E6" s="212">
        <f t="shared" si="0"/>
        <v>9.37</v>
      </c>
      <c r="F6" s="214" t="s">
        <v>95</v>
      </c>
      <c r="G6" s="213">
        <f t="shared" ref="G6:I6" si="2">G7+G14+G65+G68</f>
        <v>4644</v>
      </c>
      <c r="H6" s="213">
        <f t="shared" si="2"/>
        <v>18654</v>
      </c>
      <c r="I6" s="213">
        <f t="shared" si="2"/>
        <v>4936</v>
      </c>
      <c r="J6" s="212">
        <f t="shared" si="1"/>
        <v>6.29</v>
      </c>
    </row>
    <row r="7" s="197" customFormat="1" ht="23.25" customHeight="1" spans="1:10">
      <c r="A7" s="215" t="s">
        <v>96</v>
      </c>
      <c r="B7" s="210">
        <f>SUM(B8+B14+B43)</f>
        <v>234151</v>
      </c>
      <c r="C7" s="210">
        <f>SUM(C8+C14+C43)</f>
        <v>326706</v>
      </c>
      <c r="D7" s="210">
        <f>SUM(D8+D14+D43)</f>
        <v>232033</v>
      </c>
      <c r="E7" s="212">
        <f t="shared" si="0"/>
        <v>-0.9</v>
      </c>
      <c r="F7" s="215" t="s">
        <v>97</v>
      </c>
      <c r="G7" s="210">
        <f t="shared" ref="G7:I7" si="3">SUM(G8:G12)</f>
        <v>3244</v>
      </c>
      <c r="H7" s="210">
        <f t="shared" si="3"/>
        <v>4153</v>
      </c>
      <c r="I7" s="210">
        <f t="shared" si="3"/>
        <v>4136</v>
      </c>
      <c r="J7" s="212">
        <f t="shared" si="1"/>
        <v>27.5</v>
      </c>
    </row>
    <row r="8" s="197" customFormat="1" ht="23.25" customHeight="1" spans="1:10">
      <c r="A8" s="215" t="s">
        <v>98</v>
      </c>
      <c r="B8" s="210">
        <f>SUM(B9:B13)</f>
        <v>3844</v>
      </c>
      <c r="C8" s="210">
        <f>SUM(C9:C13)</f>
        <v>3844</v>
      </c>
      <c r="D8" s="210">
        <f>SUM(D9:D13)</f>
        <v>3844</v>
      </c>
      <c r="E8" s="213">
        <f t="shared" si="0"/>
        <v>0</v>
      </c>
      <c r="F8" s="216" t="s">
        <v>99</v>
      </c>
      <c r="G8" s="217">
        <v>73</v>
      </c>
      <c r="H8" s="218">
        <v>73</v>
      </c>
      <c r="I8" s="218">
        <v>73</v>
      </c>
      <c r="J8" s="221">
        <f t="shared" si="1"/>
        <v>0</v>
      </c>
    </row>
    <row r="9" s="197" customFormat="1" ht="23.25" customHeight="1" spans="1:10">
      <c r="A9" s="219" t="s">
        <v>100</v>
      </c>
      <c r="B9" s="218">
        <v>404</v>
      </c>
      <c r="C9" s="218">
        <v>404</v>
      </c>
      <c r="D9" s="218">
        <v>404</v>
      </c>
      <c r="E9" s="220">
        <f t="shared" si="0"/>
        <v>0</v>
      </c>
      <c r="F9" s="216" t="s">
        <v>101</v>
      </c>
      <c r="G9" s="217"/>
      <c r="H9" s="218"/>
      <c r="I9" s="218"/>
      <c r="J9" s="221"/>
    </row>
    <row r="10" s="197" customFormat="1" ht="23.25" customHeight="1" spans="1:10">
      <c r="A10" s="219" t="s">
        <v>102</v>
      </c>
      <c r="B10" s="218">
        <v>197</v>
      </c>
      <c r="C10" s="218">
        <v>197</v>
      </c>
      <c r="D10" s="218">
        <v>197</v>
      </c>
      <c r="E10" s="220">
        <f t="shared" si="0"/>
        <v>0</v>
      </c>
      <c r="F10" s="216" t="s">
        <v>103</v>
      </c>
      <c r="G10" s="217"/>
      <c r="H10" s="218"/>
      <c r="I10" s="218"/>
      <c r="J10" s="221"/>
    </row>
    <row r="11" s="197" customFormat="1" ht="23.25" customHeight="1" spans="1:10">
      <c r="A11" s="219" t="s">
        <v>104</v>
      </c>
      <c r="B11" s="218">
        <v>657</v>
      </c>
      <c r="C11" s="218">
        <v>657</v>
      </c>
      <c r="D11" s="218">
        <v>657</v>
      </c>
      <c r="E11" s="220">
        <f t="shared" si="0"/>
        <v>0</v>
      </c>
      <c r="F11" s="216" t="s">
        <v>105</v>
      </c>
      <c r="G11" s="217">
        <f>1719-789</f>
        <v>930</v>
      </c>
      <c r="H11" s="218">
        <v>822</v>
      </c>
      <c r="I11" s="218">
        <v>822</v>
      </c>
      <c r="J11" s="221">
        <f>(I11-G11)/G11*100</f>
        <v>-11.61</v>
      </c>
    </row>
    <row r="12" s="197" customFormat="1" ht="23.25" customHeight="1" spans="1:10">
      <c r="A12" s="219" t="s">
        <v>106</v>
      </c>
      <c r="B12" s="218">
        <f>2235-256</f>
        <v>1979</v>
      </c>
      <c r="C12" s="218">
        <f>2235-256</f>
        <v>1979</v>
      </c>
      <c r="D12" s="218">
        <f>2235-256</f>
        <v>1979</v>
      </c>
      <c r="E12" s="220">
        <f t="shared" si="0"/>
        <v>0</v>
      </c>
      <c r="F12" s="598" t="s">
        <v>4144</v>
      </c>
      <c r="G12" s="217">
        <v>2241</v>
      </c>
      <c r="H12" s="218">
        <v>3258</v>
      </c>
      <c r="I12" s="218">
        <v>3241</v>
      </c>
      <c r="J12" s="221">
        <f>(I12-G12)/G12*100</f>
        <v>44.62</v>
      </c>
    </row>
    <row r="13" s="197" customFormat="1" ht="23.25" customHeight="1" spans="1:10">
      <c r="A13" s="219" t="s">
        <v>4145</v>
      </c>
      <c r="B13" s="218">
        <v>607</v>
      </c>
      <c r="C13" s="218">
        <v>607</v>
      </c>
      <c r="D13" s="218">
        <v>607</v>
      </c>
      <c r="E13" s="220">
        <f t="shared" si="0"/>
        <v>0</v>
      </c>
      <c r="F13" s="216"/>
      <c r="G13" s="218"/>
      <c r="H13" s="218"/>
      <c r="I13" s="218"/>
      <c r="J13" s="221"/>
    </row>
    <row r="14" s="197" customFormat="1" ht="23.25" customHeight="1" spans="1:10">
      <c r="A14" s="591" t="s">
        <v>109</v>
      </c>
      <c r="B14" s="210">
        <f>SUM(B15:B42)</f>
        <v>205645</v>
      </c>
      <c r="C14" s="210">
        <f>SUM(C15:C42)</f>
        <v>297884</v>
      </c>
      <c r="D14" s="210">
        <f>SUM(D15:D42)</f>
        <v>226816</v>
      </c>
      <c r="E14" s="212">
        <f t="shared" si="0"/>
        <v>10.29</v>
      </c>
      <c r="F14" s="215" t="s">
        <v>110</v>
      </c>
      <c r="G14" s="210">
        <f t="shared" ref="G14:I14" si="4">G15+G20+G43</f>
        <v>0</v>
      </c>
      <c r="H14" s="210">
        <f t="shared" si="4"/>
        <v>0</v>
      </c>
      <c r="I14" s="210">
        <f t="shared" si="4"/>
        <v>0</v>
      </c>
      <c r="J14" s="212"/>
    </row>
    <row r="15" s="197" customFormat="1" ht="23.25" customHeight="1" spans="1:10">
      <c r="A15" s="219" t="s">
        <v>111</v>
      </c>
      <c r="B15" s="218">
        <v>1764</v>
      </c>
      <c r="C15" s="218">
        <v>1764</v>
      </c>
      <c r="D15" s="218">
        <v>1764</v>
      </c>
      <c r="E15" s="221">
        <f t="shared" si="0"/>
        <v>0</v>
      </c>
      <c r="F15" s="215" t="s">
        <v>112</v>
      </c>
      <c r="G15" s="210">
        <f t="shared" ref="G15:I15" si="5">SUM(G16:G19)</f>
        <v>0</v>
      </c>
      <c r="H15" s="210">
        <f t="shared" si="5"/>
        <v>0</v>
      </c>
      <c r="I15" s="210">
        <f t="shared" si="5"/>
        <v>0</v>
      </c>
      <c r="J15" s="212"/>
    </row>
    <row r="16" s="197" customFormat="1" ht="23.25" customHeight="1" spans="1:10">
      <c r="A16" s="592" t="s">
        <v>113</v>
      </c>
      <c r="B16" s="218">
        <v>53147</v>
      </c>
      <c r="C16" s="218">
        <v>67974</v>
      </c>
      <c r="D16" s="223">
        <f>53272+10509</f>
        <v>63781</v>
      </c>
      <c r="E16" s="221">
        <f t="shared" si="0"/>
        <v>20.01</v>
      </c>
      <c r="F16" s="216" t="s">
        <v>114</v>
      </c>
      <c r="G16" s="218"/>
      <c r="H16" s="218"/>
      <c r="I16" s="218"/>
      <c r="J16" s="221"/>
    </row>
    <row r="17" s="197" customFormat="1" ht="23.25" customHeight="1" spans="1:10">
      <c r="A17" s="224" t="s">
        <v>115</v>
      </c>
      <c r="B17" s="218">
        <v>14575</v>
      </c>
      <c r="C17" s="218">
        <v>16910</v>
      </c>
      <c r="D17" s="223">
        <f>16014+896</f>
        <v>16910</v>
      </c>
      <c r="E17" s="221">
        <f t="shared" si="0"/>
        <v>16.02</v>
      </c>
      <c r="F17" s="216" t="s">
        <v>116</v>
      </c>
      <c r="G17" s="218"/>
      <c r="H17" s="218"/>
      <c r="I17" s="218"/>
      <c r="J17" s="221"/>
    </row>
    <row r="18" s="197" customFormat="1" ht="23.25" customHeight="1" spans="1:10">
      <c r="A18" s="593" t="s">
        <v>117</v>
      </c>
      <c r="B18" s="218">
        <v>4906</v>
      </c>
      <c r="C18" s="218">
        <v>8785</v>
      </c>
      <c r="D18" s="223">
        <f>376+339</f>
        <v>715</v>
      </c>
      <c r="E18" s="221">
        <f t="shared" si="0"/>
        <v>-85.43</v>
      </c>
      <c r="F18" s="216" t="s">
        <v>118</v>
      </c>
      <c r="G18" s="218"/>
      <c r="H18" s="218"/>
      <c r="I18" s="218"/>
      <c r="J18" s="221"/>
    </row>
    <row r="19" s="197" customFormat="1" ht="23.25" customHeight="1" spans="1:10">
      <c r="A19" s="592" t="s">
        <v>119</v>
      </c>
      <c r="B19" s="218"/>
      <c r="C19" s="218"/>
      <c r="D19" s="218"/>
      <c r="E19" s="221"/>
      <c r="F19" s="216" t="s">
        <v>120</v>
      </c>
      <c r="G19" s="218"/>
      <c r="H19" s="218"/>
      <c r="I19" s="218"/>
      <c r="J19" s="221"/>
    </row>
    <row r="20" s="197" customFormat="1" ht="23.25" customHeight="1" spans="1:10">
      <c r="A20" s="224" t="s">
        <v>121</v>
      </c>
      <c r="B20" s="218"/>
      <c r="C20" s="218"/>
      <c r="D20" s="218"/>
      <c r="E20" s="221"/>
      <c r="F20" s="215" t="s">
        <v>122</v>
      </c>
      <c r="G20" s="210">
        <f t="shared" ref="G20:I20" si="6">SUM(G21:G38)</f>
        <v>0</v>
      </c>
      <c r="H20" s="210">
        <f t="shared" si="6"/>
        <v>0</v>
      </c>
      <c r="I20" s="210">
        <f t="shared" si="6"/>
        <v>0</v>
      </c>
      <c r="J20" s="212"/>
    </row>
    <row r="21" s="197" customFormat="1" ht="23.25" customHeight="1" spans="1:10">
      <c r="A21" s="224" t="s">
        <v>123</v>
      </c>
      <c r="B21" s="218">
        <v>794</v>
      </c>
      <c r="C21" s="218">
        <v>883</v>
      </c>
      <c r="D21" s="218">
        <v>794</v>
      </c>
      <c r="E21" s="221">
        <f t="shared" ref="E21:E26" si="7">(D21-B21)/B21*100</f>
        <v>0</v>
      </c>
      <c r="F21" s="216" t="s">
        <v>124</v>
      </c>
      <c r="G21" s="218"/>
      <c r="H21" s="218"/>
      <c r="I21" s="218"/>
      <c r="J21" s="221"/>
    </row>
    <row r="22" s="197" customFormat="1" ht="23.25" customHeight="1" spans="1:10">
      <c r="A22" s="224" t="s">
        <v>125</v>
      </c>
      <c r="B22" s="148">
        <v>8886</v>
      </c>
      <c r="C22" s="148">
        <v>12006</v>
      </c>
      <c r="D22" s="226">
        <f>8135+4000</f>
        <v>12135</v>
      </c>
      <c r="E22" s="221">
        <f t="shared" si="7"/>
        <v>36.56</v>
      </c>
      <c r="F22" s="216" t="s">
        <v>126</v>
      </c>
      <c r="G22" s="218"/>
      <c r="H22" s="218"/>
      <c r="I22" s="218"/>
      <c r="J22" s="221"/>
    </row>
    <row r="23" s="197" customFormat="1" ht="23.25" customHeight="1" spans="1:10">
      <c r="A23" s="224" t="s">
        <v>127</v>
      </c>
      <c r="B23" s="148">
        <v>13134</v>
      </c>
      <c r="C23" s="148">
        <v>13954</v>
      </c>
      <c r="D23" s="148">
        <f>13134</f>
        <v>13134</v>
      </c>
      <c r="E23" s="221">
        <f t="shared" si="7"/>
        <v>0</v>
      </c>
      <c r="F23" s="227" t="s">
        <v>128</v>
      </c>
      <c r="G23" s="218"/>
      <c r="H23" s="218"/>
      <c r="I23" s="218"/>
      <c r="J23" s="221"/>
    </row>
    <row r="24" s="197" customFormat="1" ht="23.25" customHeight="1" spans="1:10">
      <c r="A24" s="594" t="s">
        <v>129</v>
      </c>
      <c r="B24" s="148">
        <v>877</v>
      </c>
      <c r="C24" s="148">
        <v>1003</v>
      </c>
      <c r="D24" s="148">
        <v>903</v>
      </c>
      <c r="E24" s="221">
        <f t="shared" si="7"/>
        <v>2.96</v>
      </c>
      <c r="F24" s="216" t="s">
        <v>130</v>
      </c>
      <c r="G24" s="218"/>
      <c r="H24" s="218"/>
      <c r="I24" s="218"/>
      <c r="J24" s="221"/>
    </row>
    <row r="25" s="197" customFormat="1" ht="23.25" customHeight="1" spans="1:10">
      <c r="A25" s="224" t="s">
        <v>131</v>
      </c>
      <c r="B25" s="148">
        <v>11487</v>
      </c>
      <c r="C25" s="148">
        <v>22256</v>
      </c>
      <c r="D25" s="226">
        <f>11487+10769</f>
        <v>22256</v>
      </c>
      <c r="E25" s="221">
        <f t="shared" si="7"/>
        <v>93.75</v>
      </c>
      <c r="F25" s="216" t="s">
        <v>132</v>
      </c>
      <c r="G25" s="218"/>
      <c r="H25" s="218"/>
      <c r="I25" s="218"/>
      <c r="J25" s="221"/>
    </row>
    <row r="26" s="197" customFormat="1" ht="23.25" customHeight="1" spans="1:10">
      <c r="A26" s="594" t="s">
        <v>133</v>
      </c>
      <c r="B26" s="218">
        <v>34729</v>
      </c>
      <c r="C26" s="218">
        <v>62174</v>
      </c>
      <c r="D26" s="218">
        <v>34839</v>
      </c>
      <c r="E26" s="221">
        <f t="shared" si="7"/>
        <v>0.32</v>
      </c>
      <c r="F26" s="216" t="s">
        <v>134</v>
      </c>
      <c r="G26" s="218"/>
      <c r="H26" s="218"/>
      <c r="I26" s="218"/>
      <c r="J26" s="221"/>
    </row>
    <row r="27" s="197" customFormat="1" ht="23.25" customHeight="1" spans="1:10">
      <c r="A27" s="224" t="s">
        <v>135</v>
      </c>
      <c r="B27" s="218"/>
      <c r="C27" s="218"/>
      <c r="D27" s="218"/>
      <c r="E27" s="221"/>
      <c r="F27" s="216" t="s">
        <v>136</v>
      </c>
      <c r="G27" s="218"/>
      <c r="H27" s="218"/>
      <c r="I27" s="218"/>
      <c r="J27" s="221"/>
    </row>
    <row r="28" s="197" customFormat="1" ht="23.25" customHeight="1" spans="1:10">
      <c r="A28" s="224" t="s">
        <v>137</v>
      </c>
      <c r="B28" s="218">
        <v>108</v>
      </c>
      <c r="C28" s="218">
        <v>1700</v>
      </c>
      <c r="D28" s="218">
        <v>8</v>
      </c>
      <c r="E28" s="221"/>
      <c r="F28" s="216" t="s">
        <v>138</v>
      </c>
      <c r="G28" s="218"/>
      <c r="H28" s="218"/>
      <c r="I28" s="218"/>
      <c r="J28" s="221"/>
    </row>
    <row r="29" s="197" customFormat="1" ht="23.25" customHeight="1" spans="1:10">
      <c r="A29" s="224" t="s">
        <v>139</v>
      </c>
      <c r="B29" s="218">
        <v>18263</v>
      </c>
      <c r="C29" s="218">
        <v>20340</v>
      </c>
      <c r="D29" s="223">
        <f>3241+10000</f>
        <v>13241</v>
      </c>
      <c r="E29" s="221">
        <f t="shared" ref="E29:E33" si="8">(D29-B29)/B29*100</f>
        <v>-27.5</v>
      </c>
      <c r="F29" s="216" t="s">
        <v>140</v>
      </c>
      <c r="G29" s="218"/>
      <c r="H29" s="218"/>
      <c r="I29" s="218"/>
      <c r="J29" s="221"/>
    </row>
    <row r="30" s="197" customFormat="1" ht="23.25" customHeight="1" spans="1:10">
      <c r="A30" s="594" t="s">
        <v>141</v>
      </c>
      <c r="B30" s="218"/>
      <c r="C30" s="218">
        <v>0</v>
      </c>
      <c r="D30" s="218"/>
      <c r="E30" s="221"/>
      <c r="F30" s="224" t="s">
        <v>142</v>
      </c>
      <c r="G30" s="218"/>
      <c r="H30" s="218"/>
      <c r="I30" s="218"/>
      <c r="J30" s="221"/>
    </row>
    <row r="31" s="197" customFormat="1" ht="23.25" customHeight="1" spans="1:10">
      <c r="A31" s="224" t="s">
        <v>143</v>
      </c>
      <c r="B31" s="218">
        <v>727</v>
      </c>
      <c r="C31" s="218">
        <v>853</v>
      </c>
      <c r="D31" s="218"/>
      <c r="E31" s="221">
        <f t="shared" si="8"/>
        <v>-100</v>
      </c>
      <c r="F31" s="224" t="s">
        <v>144</v>
      </c>
      <c r="G31" s="218"/>
      <c r="H31" s="218"/>
      <c r="I31" s="218"/>
      <c r="J31" s="221"/>
    </row>
    <row r="32" s="197" customFormat="1" ht="23.25" customHeight="1" spans="1:10">
      <c r="A32" s="224" t="s">
        <v>145</v>
      </c>
      <c r="B32" s="218">
        <v>22522</v>
      </c>
      <c r="C32" s="218">
        <v>30288</v>
      </c>
      <c r="D32" s="223">
        <f>22164+3000</f>
        <v>25164</v>
      </c>
      <c r="E32" s="221">
        <f t="shared" si="8"/>
        <v>11.73</v>
      </c>
      <c r="F32" s="224" t="s">
        <v>146</v>
      </c>
      <c r="G32" s="218"/>
      <c r="H32" s="218"/>
      <c r="I32" s="218"/>
      <c r="J32" s="221"/>
    </row>
    <row r="33" s="197" customFormat="1" ht="23.25" customHeight="1" spans="1:10">
      <c r="A33" s="224" t="s">
        <v>147</v>
      </c>
      <c r="B33" s="218">
        <v>7083</v>
      </c>
      <c r="C33" s="218">
        <v>7683</v>
      </c>
      <c r="D33" s="223">
        <f>4756+1000</f>
        <v>5756</v>
      </c>
      <c r="E33" s="221">
        <f t="shared" si="8"/>
        <v>-18.73</v>
      </c>
      <c r="F33" s="227" t="s">
        <v>148</v>
      </c>
      <c r="G33" s="218"/>
      <c r="H33" s="218"/>
      <c r="I33" s="218"/>
      <c r="J33" s="221"/>
    </row>
    <row r="34" s="197" customFormat="1" ht="23.25" customHeight="1" spans="1:10">
      <c r="A34" s="594" t="s">
        <v>149</v>
      </c>
      <c r="B34" s="218">
        <v>828</v>
      </c>
      <c r="C34" s="218">
        <v>1194</v>
      </c>
      <c r="D34" s="218">
        <v>1660</v>
      </c>
      <c r="E34" s="221"/>
      <c r="F34" s="224" t="s">
        <v>150</v>
      </c>
      <c r="G34" s="218"/>
      <c r="H34" s="218"/>
      <c r="I34" s="218"/>
      <c r="J34" s="221"/>
    </row>
    <row r="35" s="197" customFormat="1" ht="23.25" customHeight="1" spans="1:10">
      <c r="A35" s="594" t="s">
        <v>151</v>
      </c>
      <c r="B35" s="218">
        <v>5231</v>
      </c>
      <c r="C35" s="218">
        <v>18826</v>
      </c>
      <c r="D35" s="223">
        <f>5122+7121</f>
        <v>12243</v>
      </c>
      <c r="E35" s="221">
        <f>(D35-B35)/B35*100</f>
        <v>134.05</v>
      </c>
      <c r="F35" s="224" t="s">
        <v>152</v>
      </c>
      <c r="G35" s="218"/>
      <c r="H35" s="218"/>
      <c r="I35" s="218"/>
      <c r="J35" s="221"/>
    </row>
    <row r="36" s="197" customFormat="1" ht="23.25" customHeight="1" spans="1:10">
      <c r="A36" s="594" t="s">
        <v>153</v>
      </c>
      <c r="B36" s="218">
        <v>776</v>
      </c>
      <c r="C36" s="218">
        <v>7426</v>
      </c>
      <c r="D36" s="218">
        <v>791</v>
      </c>
      <c r="E36" s="221"/>
      <c r="F36" s="224" t="s">
        <v>154</v>
      </c>
      <c r="G36" s="218"/>
      <c r="H36" s="218"/>
      <c r="I36" s="218"/>
      <c r="J36" s="221"/>
    </row>
    <row r="37" s="197" customFormat="1" ht="23.25" customHeight="1" spans="1:10">
      <c r="A37" s="224" t="s">
        <v>155</v>
      </c>
      <c r="B37" s="218">
        <v>194</v>
      </c>
      <c r="C37" s="218">
        <v>509</v>
      </c>
      <c r="D37" s="218">
        <v>492</v>
      </c>
      <c r="E37" s="221">
        <f>(D37-B37)/B37*100</f>
        <v>153.61</v>
      </c>
      <c r="F37" s="224" t="s">
        <v>156</v>
      </c>
      <c r="G37" s="218"/>
      <c r="H37" s="218"/>
      <c r="I37" s="218"/>
      <c r="J37" s="221"/>
    </row>
    <row r="38" s="197" customFormat="1" ht="23.25" customHeight="1" spans="1:10">
      <c r="A38" s="594" t="s">
        <v>157</v>
      </c>
      <c r="B38" s="218"/>
      <c r="C38" s="218">
        <v>115</v>
      </c>
      <c r="D38" s="218"/>
      <c r="E38" s="221"/>
      <c r="F38" s="216" t="s">
        <v>160</v>
      </c>
      <c r="G38" s="218"/>
      <c r="H38" s="218"/>
      <c r="I38" s="218"/>
      <c r="J38" s="221"/>
    </row>
    <row r="39" s="197" customFormat="1" ht="23.25" customHeight="1" spans="1:10">
      <c r="A39" s="594" t="s">
        <v>159</v>
      </c>
      <c r="B39" s="218"/>
      <c r="C39" s="218"/>
      <c r="D39" s="218"/>
      <c r="E39" s="221"/>
      <c r="F39" s="224"/>
      <c r="G39" s="218"/>
      <c r="H39" s="218"/>
      <c r="I39" s="218"/>
      <c r="J39" s="221"/>
    </row>
    <row r="40" s="197" customFormat="1" ht="23.25" customHeight="1" spans="1:10">
      <c r="A40" s="594" t="s">
        <v>161</v>
      </c>
      <c r="B40" s="218"/>
      <c r="C40" s="218"/>
      <c r="D40" s="218"/>
      <c r="E40" s="221"/>
      <c r="F40" s="224"/>
      <c r="G40" s="218"/>
      <c r="H40" s="218"/>
      <c r="I40" s="218"/>
      <c r="J40" s="221"/>
    </row>
    <row r="41" s="197" customFormat="1" ht="23.25" customHeight="1" spans="1:10">
      <c r="A41" s="594" t="s">
        <v>162</v>
      </c>
      <c r="B41" s="218"/>
      <c r="C41" s="218"/>
      <c r="D41" s="218"/>
      <c r="E41" s="221"/>
      <c r="F41" s="224"/>
      <c r="G41" s="218"/>
      <c r="H41" s="218"/>
      <c r="I41" s="218"/>
      <c r="J41" s="221"/>
    </row>
    <row r="42" s="197" customFormat="1" ht="23.25" customHeight="1" spans="1:10">
      <c r="A42" s="224" t="s">
        <v>163</v>
      </c>
      <c r="B42" s="218">
        <v>5614</v>
      </c>
      <c r="C42" s="218">
        <v>1241</v>
      </c>
      <c r="D42" s="218">
        <v>230</v>
      </c>
      <c r="E42" s="221">
        <f t="shared" ref="E42:E44" si="9">(D42-B42)/B42*100</f>
        <v>-95.9</v>
      </c>
      <c r="F42" s="216"/>
      <c r="G42" s="218"/>
      <c r="H42" s="218"/>
      <c r="I42" s="218"/>
      <c r="J42" s="221"/>
    </row>
    <row r="43" s="197" customFormat="1" ht="23.25" customHeight="1" spans="1:10">
      <c r="A43" s="229" t="s">
        <v>164</v>
      </c>
      <c r="B43" s="210">
        <f t="shared" ref="B43:I43" si="10">SUM(B44:B64)</f>
        <v>24662</v>
      </c>
      <c r="C43" s="210">
        <f t="shared" si="10"/>
        <v>24978</v>
      </c>
      <c r="D43" s="210">
        <f t="shared" si="10"/>
        <v>1373</v>
      </c>
      <c r="E43" s="212">
        <f t="shared" si="9"/>
        <v>-94.43</v>
      </c>
      <c r="F43" s="215" t="s">
        <v>165</v>
      </c>
      <c r="G43" s="210">
        <f t="shared" si="10"/>
        <v>0</v>
      </c>
      <c r="H43" s="210">
        <f t="shared" si="10"/>
        <v>0</v>
      </c>
      <c r="I43" s="210">
        <f t="shared" si="10"/>
        <v>0</v>
      </c>
      <c r="J43" s="212"/>
    </row>
    <row r="44" s="197" customFormat="1" ht="23.25" customHeight="1" spans="1:10">
      <c r="A44" s="224" t="s">
        <v>166</v>
      </c>
      <c r="B44" s="218">
        <v>75</v>
      </c>
      <c r="C44" s="218">
        <v>76</v>
      </c>
      <c r="D44" s="218">
        <v>55</v>
      </c>
      <c r="E44" s="221">
        <f t="shared" si="9"/>
        <v>-26.67</v>
      </c>
      <c r="F44" s="216" t="s">
        <v>166</v>
      </c>
      <c r="G44" s="218"/>
      <c r="H44" s="218"/>
      <c r="I44" s="218"/>
      <c r="J44" s="221"/>
    </row>
    <row r="45" s="197" customFormat="1" ht="23.25" customHeight="1" spans="1:10">
      <c r="A45" s="224" t="s">
        <v>167</v>
      </c>
      <c r="B45" s="218"/>
      <c r="C45" s="218">
        <v>0</v>
      </c>
      <c r="D45" s="218"/>
      <c r="E45" s="221"/>
      <c r="F45" s="216" t="s">
        <v>167</v>
      </c>
      <c r="G45" s="218"/>
      <c r="H45" s="218"/>
      <c r="I45" s="218"/>
      <c r="J45" s="221"/>
    </row>
    <row r="46" s="197" customFormat="1" ht="23.25" customHeight="1" spans="1:10">
      <c r="A46" s="224" t="s">
        <v>168</v>
      </c>
      <c r="B46" s="218"/>
      <c r="C46" s="218">
        <v>0</v>
      </c>
      <c r="D46" s="218"/>
      <c r="E46" s="221"/>
      <c r="F46" s="216" t="s">
        <v>168</v>
      </c>
      <c r="G46" s="218"/>
      <c r="H46" s="218"/>
      <c r="I46" s="218"/>
      <c r="J46" s="221"/>
    </row>
    <row r="47" s="197" customFormat="1" ht="23.25" customHeight="1" spans="1:10">
      <c r="A47" s="224" t="s">
        <v>169</v>
      </c>
      <c r="B47" s="218"/>
      <c r="C47" s="218">
        <v>0</v>
      </c>
      <c r="D47" s="218"/>
      <c r="E47" s="221"/>
      <c r="F47" s="216" t="s">
        <v>169</v>
      </c>
      <c r="G47" s="218"/>
      <c r="H47" s="218"/>
      <c r="I47" s="218"/>
      <c r="J47" s="221"/>
    </row>
    <row r="48" s="197" customFormat="1" ht="23.25" customHeight="1" spans="1:10">
      <c r="A48" s="224" t="s">
        <v>170</v>
      </c>
      <c r="B48" s="148">
        <v>1000</v>
      </c>
      <c r="C48" s="148">
        <v>0</v>
      </c>
      <c r="D48" s="148"/>
      <c r="E48" s="221"/>
      <c r="F48" s="216" t="s">
        <v>170</v>
      </c>
      <c r="G48" s="218"/>
      <c r="H48" s="218"/>
      <c r="I48" s="218"/>
      <c r="J48" s="221"/>
    </row>
    <row r="49" s="197" customFormat="1" ht="23.25" customHeight="1" spans="1:10">
      <c r="A49" s="224" t="s">
        <v>171</v>
      </c>
      <c r="B49" s="148"/>
      <c r="C49" s="148">
        <v>0</v>
      </c>
      <c r="D49" s="148"/>
      <c r="E49" s="221"/>
      <c r="F49" s="216" t="s">
        <v>171</v>
      </c>
      <c r="G49" s="218"/>
      <c r="H49" s="218"/>
      <c r="I49" s="218"/>
      <c r="J49" s="221"/>
    </row>
    <row r="50" s="197" customFormat="1" ht="23.25" customHeight="1" spans="1:10">
      <c r="A50" s="594" t="s">
        <v>172</v>
      </c>
      <c r="B50" s="36">
        <v>2000</v>
      </c>
      <c r="C50" s="36">
        <v>1000</v>
      </c>
      <c r="D50" s="36"/>
      <c r="E50" s="221"/>
      <c r="F50" s="216" t="s">
        <v>173</v>
      </c>
      <c r="G50" s="218"/>
      <c r="H50" s="218"/>
      <c r="I50" s="218"/>
      <c r="J50" s="221"/>
    </row>
    <row r="51" s="197" customFormat="1" ht="23.25" customHeight="1" spans="1:10">
      <c r="A51" s="224" t="s">
        <v>174</v>
      </c>
      <c r="B51" s="36">
        <v>178</v>
      </c>
      <c r="C51" s="36">
        <v>68</v>
      </c>
      <c r="D51" s="159">
        <v>28</v>
      </c>
      <c r="E51" s="221">
        <f t="shared" ref="E51:E55" si="11">(D51-B51)/B51*100</f>
        <v>-84.27</v>
      </c>
      <c r="F51" s="216" t="s">
        <v>174</v>
      </c>
      <c r="G51" s="218"/>
      <c r="H51" s="218"/>
      <c r="I51" s="218"/>
      <c r="J51" s="221"/>
    </row>
    <row r="52" s="197" customFormat="1" ht="23.25" customHeight="1" spans="1:10">
      <c r="A52" s="594" t="s">
        <v>175</v>
      </c>
      <c r="B52" s="36">
        <v>253</v>
      </c>
      <c r="C52" s="36">
        <v>286</v>
      </c>
      <c r="D52" s="159"/>
      <c r="E52" s="221">
        <f t="shared" si="11"/>
        <v>-100</v>
      </c>
      <c r="F52" s="216" t="s">
        <v>176</v>
      </c>
      <c r="G52" s="218"/>
      <c r="H52" s="218"/>
      <c r="I52" s="218"/>
      <c r="J52" s="221"/>
    </row>
    <row r="53" s="197" customFormat="1" ht="23.25" customHeight="1" spans="1:10">
      <c r="A53" s="224" t="s">
        <v>177</v>
      </c>
      <c r="B53" s="36">
        <v>118</v>
      </c>
      <c r="C53" s="36">
        <v>610</v>
      </c>
      <c r="D53" s="159">
        <v>20</v>
      </c>
      <c r="E53" s="221">
        <f t="shared" si="11"/>
        <v>-83.05</v>
      </c>
      <c r="F53" s="216" t="s">
        <v>177</v>
      </c>
      <c r="G53" s="218"/>
      <c r="H53" s="218"/>
      <c r="I53" s="218"/>
      <c r="J53" s="221"/>
    </row>
    <row r="54" s="197" customFormat="1" ht="23.25" customHeight="1" spans="1:10">
      <c r="A54" s="224" t="s">
        <v>178</v>
      </c>
      <c r="B54" s="36"/>
      <c r="C54" s="36">
        <v>207</v>
      </c>
      <c r="D54" s="159"/>
      <c r="E54" s="221" t="e">
        <f t="shared" si="11"/>
        <v>#DIV/0!</v>
      </c>
      <c r="F54" s="216" t="s">
        <v>178</v>
      </c>
      <c r="G54" s="218"/>
      <c r="H54" s="218"/>
      <c r="I54" s="218"/>
      <c r="J54" s="221"/>
    </row>
    <row r="55" s="197" customFormat="1" ht="23.25" customHeight="1" spans="1:10">
      <c r="A55" s="224" t="s">
        <v>179</v>
      </c>
      <c r="B55" s="36">
        <v>18926</v>
      </c>
      <c r="C55" s="36">
        <v>19177</v>
      </c>
      <c r="D55" s="159">
        <v>1120</v>
      </c>
      <c r="E55" s="221">
        <f t="shared" si="11"/>
        <v>-94.08</v>
      </c>
      <c r="F55" s="216" t="s">
        <v>179</v>
      </c>
      <c r="G55" s="218"/>
      <c r="H55" s="218"/>
      <c r="I55" s="218"/>
      <c r="J55" s="221"/>
    </row>
    <row r="56" s="197" customFormat="1" ht="23.25" customHeight="1" spans="1:10">
      <c r="A56" s="224" t="s">
        <v>180</v>
      </c>
      <c r="B56" s="148">
        <v>87</v>
      </c>
      <c r="C56" s="148">
        <v>432</v>
      </c>
      <c r="D56" s="148">
        <v>85</v>
      </c>
      <c r="E56" s="221"/>
      <c r="F56" s="224" t="s">
        <v>180</v>
      </c>
      <c r="G56" s="218"/>
      <c r="H56" s="218"/>
      <c r="I56" s="218"/>
      <c r="J56" s="221"/>
    </row>
    <row r="57" s="197" customFormat="1" ht="23.25" customHeight="1" spans="1:10">
      <c r="A57" s="224" t="s">
        <v>181</v>
      </c>
      <c r="B57" s="218"/>
      <c r="C57" s="218">
        <v>221</v>
      </c>
      <c r="D57" s="218"/>
      <c r="E57" s="221"/>
      <c r="F57" s="224" t="s">
        <v>181</v>
      </c>
      <c r="G57" s="218"/>
      <c r="H57" s="218"/>
      <c r="I57" s="218"/>
      <c r="J57" s="221"/>
    </row>
    <row r="58" s="197" customFormat="1" ht="23.25" customHeight="1" spans="1:10">
      <c r="A58" s="224" t="s">
        <v>182</v>
      </c>
      <c r="B58" s="218"/>
      <c r="C58" s="218">
        <v>0</v>
      </c>
      <c r="D58" s="218"/>
      <c r="E58" s="221"/>
      <c r="F58" s="224" t="s">
        <v>182</v>
      </c>
      <c r="G58" s="218"/>
      <c r="H58" s="218"/>
      <c r="I58" s="218"/>
      <c r="J58" s="221"/>
    </row>
    <row r="59" s="197" customFormat="1" ht="23.25" customHeight="1" spans="1:10">
      <c r="A59" s="224" t="s">
        <v>183</v>
      </c>
      <c r="B59" s="218"/>
      <c r="C59" s="218">
        <v>543</v>
      </c>
      <c r="D59" s="218"/>
      <c r="E59" s="221"/>
      <c r="F59" s="224" t="s">
        <v>183</v>
      </c>
      <c r="G59" s="218"/>
      <c r="H59" s="218"/>
      <c r="I59" s="218"/>
      <c r="J59" s="221"/>
    </row>
    <row r="60" s="197" customFormat="1" ht="23.25" customHeight="1" spans="1:10">
      <c r="A60" s="594" t="s">
        <v>184</v>
      </c>
      <c r="B60" s="218">
        <v>56</v>
      </c>
      <c r="C60" s="218">
        <v>56</v>
      </c>
      <c r="D60" s="218">
        <v>5</v>
      </c>
      <c r="E60" s="221">
        <f t="shared" ref="E60:E66" si="12">(D60-B60)/B60*100</f>
        <v>-91.07</v>
      </c>
      <c r="F60" s="224" t="s">
        <v>185</v>
      </c>
      <c r="G60" s="218"/>
      <c r="H60" s="218"/>
      <c r="I60" s="218"/>
      <c r="J60" s="221"/>
    </row>
    <row r="61" s="197" customFormat="1" ht="23.25" customHeight="1" spans="1:10">
      <c r="A61" s="224" t="s">
        <v>186</v>
      </c>
      <c r="B61" s="218">
        <v>70</v>
      </c>
      <c r="C61" s="218">
        <v>318</v>
      </c>
      <c r="D61" s="218"/>
      <c r="E61" s="221"/>
      <c r="F61" s="224" t="s">
        <v>186</v>
      </c>
      <c r="G61" s="218"/>
      <c r="H61" s="218"/>
      <c r="I61" s="218"/>
      <c r="J61" s="221"/>
    </row>
    <row r="62" s="197" customFormat="1" ht="23.25" customHeight="1" spans="1:10">
      <c r="A62" s="224" t="s">
        <v>187</v>
      </c>
      <c r="B62" s="218">
        <v>30</v>
      </c>
      <c r="C62" s="218">
        <v>30</v>
      </c>
      <c r="D62" s="218"/>
      <c r="E62" s="221"/>
      <c r="F62" s="224" t="s">
        <v>187</v>
      </c>
      <c r="G62" s="218"/>
      <c r="H62" s="218"/>
      <c r="I62" s="218"/>
      <c r="J62" s="221"/>
    </row>
    <row r="63" s="197" customFormat="1" ht="23.25" customHeight="1" spans="1:10">
      <c r="A63" s="224" t="s">
        <v>188</v>
      </c>
      <c r="B63" s="218">
        <v>1869</v>
      </c>
      <c r="C63" s="218">
        <v>1954</v>
      </c>
      <c r="D63" s="218">
        <v>60</v>
      </c>
      <c r="E63" s="221">
        <f t="shared" si="12"/>
        <v>-96.79</v>
      </c>
      <c r="F63" s="224" t="s">
        <v>188</v>
      </c>
      <c r="G63" s="218"/>
      <c r="H63" s="218"/>
      <c r="I63" s="218"/>
      <c r="J63" s="221"/>
    </row>
    <row r="64" s="197" customFormat="1" ht="23.25" customHeight="1" spans="1:10">
      <c r="A64" s="595" t="s">
        <v>189</v>
      </c>
      <c r="B64" s="218"/>
      <c r="C64" s="218"/>
      <c r="D64" s="218"/>
      <c r="E64" s="221"/>
      <c r="F64" s="216" t="s">
        <v>189</v>
      </c>
      <c r="G64" s="218"/>
      <c r="H64" s="218"/>
      <c r="I64" s="218"/>
      <c r="J64" s="221"/>
    </row>
    <row r="65" s="197" customFormat="1" ht="23.25" customHeight="1" spans="1:10">
      <c r="A65" s="596" t="s">
        <v>190</v>
      </c>
      <c r="B65" s="210">
        <f>B66+B67</f>
        <v>8152</v>
      </c>
      <c r="C65" s="210">
        <f>C66+C67</f>
        <v>200</v>
      </c>
      <c r="D65" s="210">
        <f>D66+D67</f>
        <v>11463</v>
      </c>
      <c r="E65" s="212">
        <f t="shared" si="12"/>
        <v>40.62</v>
      </c>
      <c r="F65" s="215" t="s">
        <v>191</v>
      </c>
      <c r="G65" s="210"/>
      <c r="H65" s="210"/>
      <c r="I65" s="210"/>
      <c r="J65" s="212"/>
    </row>
    <row r="66" s="197" customFormat="1" ht="23.25" customHeight="1" spans="1:10">
      <c r="A66" s="597" t="s">
        <v>192</v>
      </c>
      <c r="B66" s="218">
        <v>8152</v>
      </c>
      <c r="C66" s="218"/>
      <c r="D66" s="234">
        <v>11463</v>
      </c>
      <c r="E66" s="221">
        <f t="shared" si="12"/>
        <v>40.62</v>
      </c>
      <c r="F66" s="216"/>
      <c r="G66" s="218"/>
      <c r="H66" s="218"/>
      <c r="I66" s="218"/>
      <c r="J66" s="221"/>
    </row>
    <row r="67" s="197" customFormat="1" ht="23.25" customHeight="1" spans="1:10">
      <c r="A67" s="597" t="s">
        <v>193</v>
      </c>
      <c r="B67" s="218"/>
      <c r="C67" s="218">
        <v>200</v>
      </c>
      <c r="D67" s="218"/>
      <c r="E67" s="221"/>
      <c r="F67" s="216"/>
      <c r="G67" s="218"/>
      <c r="H67" s="218"/>
      <c r="I67" s="218"/>
      <c r="J67" s="221"/>
    </row>
    <row r="68" s="197" customFormat="1" ht="23.25" customHeight="1" spans="1:10">
      <c r="A68" s="591" t="s">
        <v>194</v>
      </c>
      <c r="B68" s="210">
        <f>B69+B70+B72</f>
        <v>0</v>
      </c>
      <c r="C68" s="210">
        <f>C69+C70+C72</f>
        <v>13978</v>
      </c>
      <c r="D68" s="210">
        <f>D69+D70+D72</f>
        <v>0</v>
      </c>
      <c r="E68" s="212"/>
      <c r="F68" s="235" t="s">
        <v>195</v>
      </c>
      <c r="G68" s="210">
        <f t="shared" ref="G68:I68" si="13">SUM(G69:G72)</f>
        <v>1400</v>
      </c>
      <c r="H68" s="210">
        <f t="shared" si="13"/>
        <v>14501</v>
      </c>
      <c r="I68" s="210">
        <f t="shared" si="13"/>
        <v>800</v>
      </c>
      <c r="J68" s="212">
        <f>(I68-G68)/G68*100</f>
        <v>-42.86</v>
      </c>
    </row>
    <row r="69" s="197" customFormat="1" ht="23.25" customHeight="1" spans="1:10">
      <c r="A69" s="216" t="s">
        <v>196</v>
      </c>
      <c r="B69" s="218"/>
      <c r="C69" s="218">
        <v>13077</v>
      </c>
      <c r="D69" s="218"/>
      <c r="E69" s="221"/>
      <c r="F69" s="597" t="s">
        <v>197</v>
      </c>
      <c r="G69" s="218">
        <v>1400</v>
      </c>
      <c r="H69" s="218">
        <v>13600</v>
      </c>
      <c r="I69" s="218">
        <v>800</v>
      </c>
      <c r="J69" s="221">
        <f>(I69-G69)/G69*100</f>
        <v>-42.86</v>
      </c>
    </row>
    <row r="70" s="197" customFormat="1" ht="23.25" customHeight="1" spans="1:10">
      <c r="A70" s="598" t="s">
        <v>198</v>
      </c>
      <c r="B70" s="218"/>
      <c r="C70" s="218"/>
      <c r="D70" s="218"/>
      <c r="E70" s="221"/>
      <c r="F70" s="216" t="s">
        <v>199</v>
      </c>
      <c r="G70" s="218"/>
      <c r="H70" s="218"/>
      <c r="I70" s="218"/>
      <c r="J70" s="221"/>
    </row>
    <row r="71" s="197" customFormat="1" ht="23.25" customHeight="1" spans="1:10">
      <c r="A71" s="598" t="s">
        <v>200</v>
      </c>
      <c r="B71" s="218"/>
      <c r="C71" s="218"/>
      <c r="D71" s="218"/>
      <c r="E71" s="221"/>
      <c r="F71" s="216" t="s">
        <v>201</v>
      </c>
      <c r="G71" s="218"/>
      <c r="H71" s="218"/>
      <c r="I71" s="218"/>
      <c r="J71" s="221"/>
    </row>
    <row r="72" s="197" customFormat="1" ht="23.25" customHeight="1" spans="1:10">
      <c r="A72" s="598" t="s">
        <v>202</v>
      </c>
      <c r="B72" s="218"/>
      <c r="C72" s="218">
        <v>901</v>
      </c>
      <c r="D72" s="218"/>
      <c r="E72" s="221"/>
      <c r="F72" s="216" t="s">
        <v>203</v>
      </c>
      <c r="G72" s="218"/>
      <c r="H72" s="218">
        <v>901</v>
      </c>
      <c r="I72" s="218"/>
      <c r="J72" s="221"/>
    </row>
    <row r="73" s="196" customFormat="1" ht="23.25" customHeight="1" spans="1:10">
      <c r="A73" s="229" t="s">
        <v>204</v>
      </c>
      <c r="B73" s="210"/>
      <c r="C73" s="210"/>
      <c r="D73" s="210"/>
      <c r="E73" s="212"/>
      <c r="F73" s="216"/>
      <c r="G73" s="218"/>
      <c r="H73" s="218"/>
      <c r="I73" s="218"/>
      <c r="J73" s="221"/>
    </row>
    <row r="74" s="196" customFormat="1" ht="23.25" customHeight="1" spans="1:10">
      <c r="A74" s="224" t="s">
        <v>205</v>
      </c>
      <c r="B74" s="218"/>
      <c r="C74" s="218"/>
      <c r="D74" s="218"/>
      <c r="E74" s="221"/>
      <c r="F74" s="216"/>
      <c r="G74" s="236"/>
      <c r="H74" s="236"/>
      <c r="I74" s="236"/>
      <c r="J74" s="221"/>
    </row>
    <row r="75" s="196" customFormat="1" ht="23.25" customHeight="1" spans="1:10">
      <c r="A75" s="218" t="s">
        <v>206</v>
      </c>
      <c r="B75" s="218"/>
      <c r="C75" s="218"/>
      <c r="D75" s="218"/>
      <c r="E75" s="221"/>
      <c r="F75" s="216"/>
      <c r="G75" s="218"/>
      <c r="H75" s="218"/>
      <c r="I75" s="218"/>
      <c r="J75" s="221"/>
    </row>
    <row r="76" s="196" customFormat="1" ht="23.25" customHeight="1" spans="1:10">
      <c r="A76" s="596" t="s">
        <v>207</v>
      </c>
      <c r="B76" s="210">
        <v>1513</v>
      </c>
      <c r="C76" s="210">
        <v>1513</v>
      </c>
      <c r="D76" s="211">
        <v>2151</v>
      </c>
      <c r="E76" s="212">
        <f t="shared" ref="E76:E78" si="14">(D76-B76)/B76*100</f>
        <v>42.17</v>
      </c>
      <c r="F76" s="596" t="s">
        <v>208</v>
      </c>
      <c r="G76" s="210"/>
      <c r="H76" s="210">
        <v>2151</v>
      </c>
      <c r="I76" s="210"/>
      <c r="J76" s="212"/>
    </row>
    <row r="77" s="196" customFormat="1" ht="23.25" customHeight="1" spans="1:10">
      <c r="A77" s="214" t="s">
        <v>209</v>
      </c>
      <c r="B77" s="210">
        <f>SUM(B78:B79)</f>
        <v>74831</v>
      </c>
      <c r="C77" s="210">
        <f>SUM(C78:C79)</f>
        <v>86680</v>
      </c>
      <c r="D77" s="210">
        <f>SUM(D78:D79)</f>
        <v>102871</v>
      </c>
      <c r="E77" s="212">
        <f t="shared" si="14"/>
        <v>37.47</v>
      </c>
      <c r="F77" s="215" t="s">
        <v>210</v>
      </c>
      <c r="G77" s="210">
        <f t="shared" ref="G77:I77" si="15">G78+G79</f>
        <v>0</v>
      </c>
      <c r="H77" s="210">
        <f t="shared" si="15"/>
        <v>102871</v>
      </c>
      <c r="I77" s="210">
        <f t="shared" si="15"/>
        <v>0</v>
      </c>
      <c r="J77" s="212"/>
    </row>
    <row r="78" s="196" customFormat="1" ht="23.25" customHeight="1" spans="1:10">
      <c r="A78" s="219" t="s">
        <v>211</v>
      </c>
      <c r="B78" s="218">
        <v>74831</v>
      </c>
      <c r="C78" s="218">
        <v>86680</v>
      </c>
      <c r="D78" s="218">
        <v>102871</v>
      </c>
      <c r="E78" s="221">
        <f t="shared" si="14"/>
        <v>37.47</v>
      </c>
      <c r="F78" s="216" t="s">
        <v>212</v>
      </c>
      <c r="G78" s="218"/>
      <c r="H78" s="218">
        <v>102871</v>
      </c>
      <c r="I78" s="218"/>
      <c r="J78" s="221"/>
    </row>
    <row r="79" s="196" customFormat="1" ht="23.25" customHeight="1" spans="1:10">
      <c r="A79" s="219" t="s">
        <v>213</v>
      </c>
      <c r="B79" s="218"/>
      <c r="C79" s="218"/>
      <c r="D79" s="218"/>
      <c r="E79" s="221"/>
      <c r="F79" s="216" t="s">
        <v>213</v>
      </c>
      <c r="G79" s="218"/>
      <c r="H79" s="218"/>
      <c r="I79" s="218"/>
      <c r="J79" s="221"/>
    </row>
    <row r="80" s="196" customFormat="1" ht="23.25" customHeight="1" spans="1:10">
      <c r="A80" s="237"/>
      <c r="B80" s="218"/>
      <c r="C80" s="218"/>
      <c r="D80" s="218"/>
      <c r="E80" s="221"/>
      <c r="F80" s="238"/>
      <c r="G80" s="218"/>
      <c r="H80" s="218"/>
      <c r="I80" s="218"/>
      <c r="J80" s="221"/>
    </row>
    <row r="81" s="196" customFormat="1" ht="23.25" customHeight="1" spans="1:10">
      <c r="A81" s="239" t="s">
        <v>214</v>
      </c>
      <c r="B81" s="210">
        <f>SUM(B5+B6)</f>
        <v>342967</v>
      </c>
      <c r="C81" s="210">
        <f>SUM(C5+C6)</f>
        <v>451023</v>
      </c>
      <c r="D81" s="210">
        <f>SUM(D5+D6)</f>
        <v>370616</v>
      </c>
      <c r="E81" s="212">
        <f>(D81-B81)/B81*100</f>
        <v>8.06</v>
      </c>
      <c r="F81" s="239" t="s">
        <v>215</v>
      </c>
      <c r="G81" s="213">
        <f t="shared" ref="G81:I81" si="16">SUM(G5+G6+G76+G77)</f>
        <v>342967</v>
      </c>
      <c r="H81" s="213">
        <f t="shared" si="16"/>
        <v>451023</v>
      </c>
      <c r="I81" s="213">
        <f t="shared" si="16"/>
        <v>370616</v>
      </c>
      <c r="J81" s="212">
        <f>(I81-G81)/G81*100</f>
        <v>8.06</v>
      </c>
    </row>
    <row r="82" s="196" customFormat="1" spans="9:9">
      <c r="I82" s="196">
        <f>D81-I81</f>
        <v>0</v>
      </c>
    </row>
  </sheetData>
  <mergeCells count="4">
    <mergeCell ref="A1:J1"/>
    <mergeCell ref="G2:J2"/>
    <mergeCell ref="A3:B3"/>
    <mergeCell ref="F3:J3"/>
  </mergeCells>
  <printOptions horizontalCentered="1" verticalCentered="1"/>
  <pageMargins left="0.708661417322835" right="0.708661417322835" top="0.551181102362205" bottom="0.551181102362205" header="0.31496062992126" footer="0.31496062992126"/>
  <pageSetup paperSize="9" scale="70" fitToHeight="2" orientation="landscape" blackAndWhite="1" horizontalDpi="600" verticalDpi="600"/>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F11" sqref="F11"/>
    </sheetView>
  </sheetViews>
  <sheetFormatPr defaultColWidth="9" defaultRowHeight="12.5"/>
  <cols>
    <col min="1" max="1" width="35.3416666666667" style="196" customWidth="1"/>
    <col min="2" max="3" width="11.025" style="196" customWidth="1"/>
    <col min="4" max="5" width="10.625" style="196" customWidth="1"/>
    <col min="6" max="6" width="32.625" style="196" customWidth="1"/>
    <col min="7" max="7" width="10.75" style="196" customWidth="1"/>
    <col min="8" max="10" width="10.375" style="196" customWidth="1"/>
    <col min="11" max="11" width="9" style="196"/>
    <col min="12" max="12" width="8.875" style="196" customWidth="1"/>
    <col min="13" max="16384" width="9" style="196"/>
  </cols>
  <sheetData>
    <row r="1" s="196" customFormat="1" ht="24.75" customHeight="1" spans="1:10">
      <c r="A1" s="587" t="s">
        <v>4147</v>
      </c>
      <c r="B1" s="198"/>
      <c r="C1" s="198"/>
      <c r="D1" s="198"/>
      <c r="E1" s="198"/>
      <c r="F1" s="198"/>
      <c r="G1" s="198"/>
      <c r="H1" s="198"/>
      <c r="I1" s="198"/>
      <c r="J1" s="198"/>
    </row>
    <row r="2" s="196" customFormat="1" ht="17.25" customHeight="1" spans="1:10">
      <c r="A2" s="199"/>
      <c r="B2" s="200"/>
      <c r="C2" s="200"/>
      <c r="D2" s="200"/>
      <c r="E2" s="200"/>
      <c r="F2" s="200"/>
      <c r="G2" s="201" t="s">
        <v>51</v>
      </c>
      <c r="H2" s="201"/>
      <c r="I2" s="201"/>
      <c r="J2" s="201"/>
    </row>
    <row r="3" s="196" customFormat="1" ht="18" customHeight="1" spans="1:10">
      <c r="A3" s="202" t="s">
        <v>4141</v>
      </c>
      <c r="B3" s="203"/>
      <c r="C3" s="203"/>
      <c r="D3" s="203"/>
      <c r="E3" s="203"/>
      <c r="F3" s="204" t="s">
        <v>4142</v>
      </c>
      <c r="G3" s="205"/>
      <c r="H3" s="205"/>
      <c r="I3" s="205"/>
      <c r="J3" s="231"/>
    </row>
    <row r="4" s="196" customFormat="1" ht="30" customHeight="1" spans="1:10">
      <c r="A4" s="206" t="s">
        <v>52</v>
      </c>
      <c r="B4" s="207" t="s">
        <v>217</v>
      </c>
      <c r="C4" s="641" t="s">
        <v>1010</v>
      </c>
      <c r="D4" s="207" t="s">
        <v>1068</v>
      </c>
      <c r="E4" s="208" t="s">
        <v>4143</v>
      </c>
      <c r="F4" s="206" t="s">
        <v>52</v>
      </c>
      <c r="G4" s="207" t="s">
        <v>217</v>
      </c>
      <c r="H4" s="641" t="s">
        <v>1010</v>
      </c>
      <c r="I4" s="207" t="s">
        <v>1068</v>
      </c>
      <c r="J4" s="208" t="s">
        <v>4143</v>
      </c>
    </row>
    <row r="5" s="197" customFormat="1" ht="26.25" customHeight="1" spans="1:10">
      <c r="A5" s="209" t="s">
        <v>92</v>
      </c>
      <c r="B5" s="210">
        <v>24320</v>
      </c>
      <c r="C5" s="210">
        <v>21946</v>
      </c>
      <c r="D5" s="211">
        <v>22098</v>
      </c>
      <c r="E5" s="212">
        <f t="shared" ref="E5:E18" si="0">(D5-B5)/B5*100</f>
        <v>-9.14</v>
      </c>
      <c r="F5" s="209" t="s">
        <v>93</v>
      </c>
      <c r="G5" s="213">
        <v>338323</v>
      </c>
      <c r="H5" s="213">
        <v>327347</v>
      </c>
      <c r="I5" s="232">
        <v>365680</v>
      </c>
      <c r="J5" s="212">
        <f t="shared" ref="J5:J8" si="1">(I5-G5)/G5*100</f>
        <v>8.09</v>
      </c>
    </row>
    <row r="6" s="197" customFormat="1" ht="26.25" customHeight="1" spans="1:10">
      <c r="A6" s="214" t="s">
        <v>94</v>
      </c>
      <c r="B6" s="210">
        <f>SUM(B7++B65+B68+B73+B77+B76)</f>
        <v>318647</v>
      </c>
      <c r="C6" s="210">
        <f>SUM(C7++C65+C68+C73+C77+C76)</f>
        <v>429077</v>
      </c>
      <c r="D6" s="210">
        <f>SUM(D7++D65+D68+D73+D77+D76)</f>
        <v>348518</v>
      </c>
      <c r="E6" s="212">
        <f t="shared" si="0"/>
        <v>9.37</v>
      </c>
      <c r="F6" s="214" t="s">
        <v>95</v>
      </c>
      <c r="G6" s="213">
        <f t="shared" ref="G6:I6" si="2">G7+G14+G65+G68</f>
        <v>4644</v>
      </c>
      <c r="H6" s="213">
        <f t="shared" si="2"/>
        <v>18654</v>
      </c>
      <c r="I6" s="213">
        <f t="shared" si="2"/>
        <v>4936</v>
      </c>
      <c r="J6" s="212">
        <f t="shared" si="1"/>
        <v>6.29</v>
      </c>
    </row>
    <row r="7" s="197" customFormat="1" ht="23.25" customHeight="1" spans="1:10">
      <c r="A7" s="215" t="s">
        <v>96</v>
      </c>
      <c r="B7" s="210">
        <f>SUM(B8+B14+B43)</f>
        <v>234151</v>
      </c>
      <c r="C7" s="210">
        <f>SUM(C8+C14+C43)</f>
        <v>326706</v>
      </c>
      <c r="D7" s="210">
        <f>SUM(D8+D14+D43)</f>
        <v>232033</v>
      </c>
      <c r="E7" s="212">
        <f t="shared" si="0"/>
        <v>-0.9</v>
      </c>
      <c r="F7" s="215" t="s">
        <v>97</v>
      </c>
      <c r="G7" s="210">
        <f t="shared" ref="G7:I7" si="3">SUM(G8:G12)</f>
        <v>3244</v>
      </c>
      <c r="H7" s="210">
        <f t="shared" si="3"/>
        <v>4153</v>
      </c>
      <c r="I7" s="210">
        <f t="shared" si="3"/>
        <v>4136</v>
      </c>
      <c r="J7" s="212">
        <f t="shared" si="1"/>
        <v>27.5</v>
      </c>
    </row>
    <row r="8" s="197" customFormat="1" ht="23.25" customHeight="1" spans="1:10">
      <c r="A8" s="215" t="s">
        <v>98</v>
      </c>
      <c r="B8" s="210">
        <f>SUM(B9:B13)</f>
        <v>3844</v>
      </c>
      <c r="C8" s="210">
        <f>SUM(C9:C13)</f>
        <v>3844</v>
      </c>
      <c r="D8" s="210">
        <f>SUM(D9:D13)</f>
        <v>3844</v>
      </c>
      <c r="E8" s="213">
        <f t="shared" si="0"/>
        <v>0</v>
      </c>
      <c r="F8" s="216" t="s">
        <v>99</v>
      </c>
      <c r="G8" s="217">
        <v>73</v>
      </c>
      <c r="H8" s="218">
        <v>73</v>
      </c>
      <c r="I8" s="218">
        <v>73</v>
      </c>
      <c r="J8" s="221">
        <f t="shared" si="1"/>
        <v>0</v>
      </c>
    </row>
    <row r="9" s="197" customFormat="1" ht="23.25" customHeight="1" spans="1:10">
      <c r="A9" s="219" t="s">
        <v>100</v>
      </c>
      <c r="B9" s="218">
        <v>404</v>
      </c>
      <c r="C9" s="218">
        <v>404</v>
      </c>
      <c r="D9" s="218">
        <v>404</v>
      </c>
      <c r="E9" s="220">
        <f t="shared" si="0"/>
        <v>0</v>
      </c>
      <c r="F9" s="216" t="s">
        <v>101</v>
      </c>
      <c r="G9" s="217"/>
      <c r="H9" s="218"/>
      <c r="I9" s="218"/>
      <c r="J9" s="221"/>
    </row>
    <row r="10" s="197" customFormat="1" ht="23.25" customHeight="1" spans="1:10">
      <c r="A10" s="219" t="s">
        <v>102</v>
      </c>
      <c r="B10" s="218">
        <v>197</v>
      </c>
      <c r="C10" s="218">
        <v>197</v>
      </c>
      <c r="D10" s="218">
        <v>197</v>
      </c>
      <c r="E10" s="220">
        <f t="shared" si="0"/>
        <v>0</v>
      </c>
      <c r="F10" s="216" t="s">
        <v>103</v>
      </c>
      <c r="G10" s="217"/>
      <c r="H10" s="218"/>
      <c r="I10" s="218"/>
      <c r="J10" s="221"/>
    </row>
    <row r="11" s="197" customFormat="1" ht="23.25" customHeight="1" spans="1:10">
      <c r="A11" s="219" t="s">
        <v>104</v>
      </c>
      <c r="B11" s="218">
        <v>657</v>
      </c>
      <c r="C11" s="218">
        <v>657</v>
      </c>
      <c r="D11" s="218">
        <v>657</v>
      </c>
      <c r="E11" s="220">
        <f t="shared" si="0"/>
        <v>0</v>
      </c>
      <c r="F11" s="216" t="s">
        <v>105</v>
      </c>
      <c r="G11" s="217">
        <f>1719-789</f>
        <v>930</v>
      </c>
      <c r="H11" s="218">
        <v>822</v>
      </c>
      <c r="I11" s="218">
        <v>822</v>
      </c>
      <c r="J11" s="221">
        <f>(I11-G11)/G11*100</f>
        <v>-11.61</v>
      </c>
    </row>
    <row r="12" s="197" customFormat="1" ht="23.25" customHeight="1" spans="1:10">
      <c r="A12" s="219" t="s">
        <v>106</v>
      </c>
      <c r="B12" s="218">
        <f>2235-256</f>
        <v>1979</v>
      </c>
      <c r="C12" s="218">
        <f>2235-256</f>
        <v>1979</v>
      </c>
      <c r="D12" s="218">
        <f>2235-256</f>
        <v>1979</v>
      </c>
      <c r="E12" s="220">
        <f t="shared" si="0"/>
        <v>0</v>
      </c>
      <c r="F12" s="598" t="s">
        <v>4144</v>
      </c>
      <c r="G12" s="217">
        <v>2241</v>
      </c>
      <c r="H12" s="218">
        <v>3258</v>
      </c>
      <c r="I12" s="218">
        <v>3241</v>
      </c>
      <c r="J12" s="221">
        <f>(I12-G12)/G12*100</f>
        <v>44.62</v>
      </c>
    </row>
    <row r="13" s="197" customFormat="1" ht="23.25" customHeight="1" spans="1:10">
      <c r="A13" s="219" t="s">
        <v>4145</v>
      </c>
      <c r="B13" s="218">
        <v>607</v>
      </c>
      <c r="C13" s="218">
        <v>607</v>
      </c>
      <c r="D13" s="218">
        <v>607</v>
      </c>
      <c r="E13" s="220">
        <f t="shared" si="0"/>
        <v>0</v>
      </c>
      <c r="F13" s="216"/>
      <c r="G13" s="218"/>
      <c r="H13" s="218"/>
      <c r="I13" s="218"/>
      <c r="J13" s="221"/>
    </row>
    <row r="14" s="197" customFormat="1" ht="23.25" customHeight="1" spans="1:10">
      <c r="A14" s="591" t="s">
        <v>109</v>
      </c>
      <c r="B14" s="210">
        <f>SUM(B15:B42)</f>
        <v>205645</v>
      </c>
      <c r="C14" s="210">
        <f>SUM(C15:C42)</f>
        <v>297884</v>
      </c>
      <c r="D14" s="210">
        <f>SUM(D15:D42)</f>
        <v>226816</v>
      </c>
      <c r="E14" s="212">
        <f t="shared" si="0"/>
        <v>10.29</v>
      </c>
      <c r="F14" s="215" t="s">
        <v>110</v>
      </c>
      <c r="G14" s="210">
        <f t="shared" ref="G14:I14" si="4">G15+G20+G43</f>
        <v>0</v>
      </c>
      <c r="H14" s="210">
        <f t="shared" si="4"/>
        <v>0</v>
      </c>
      <c r="I14" s="210">
        <f t="shared" si="4"/>
        <v>0</v>
      </c>
      <c r="J14" s="212"/>
    </row>
    <row r="15" s="197" customFormat="1" ht="23.25" customHeight="1" spans="1:10">
      <c r="A15" s="219" t="s">
        <v>111</v>
      </c>
      <c r="B15" s="218">
        <v>1764</v>
      </c>
      <c r="C15" s="218">
        <v>1764</v>
      </c>
      <c r="D15" s="218">
        <v>1764</v>
      </c>
      <c r="E15" s="221">
        <f t="shared" si="0"/>
        <v>0</v>
      </c>
      <c r="F15" s="215" t="s">
        <v>112</v>
      </c>
      <c r="G15" s="210">
        <f t="shared" ref="G15:I15" si="5">SUM(G16:G19)</f>
        <v>0</v>
      </c>
      <c r="H15" s="210">
        <f t="shared" si="5"/>
        <v>0</v>
      </c>
      <c r="I15" s="210">
        <f t="shared" si="5"/>
        <v>0</v>
      </c>
      <c r="J15" s="212"/>
    </row>
    <row r="16" s="197" customFormat="1" ht="23.25" customHeight="1" spans="1:10">
      <c r="A16" s="592" t="s">
        <v>113</v>
      </c>
      <c r="B16" s="218">
        <v>53147</v>
      </c>
      <c r="C16" s="218">
        <v>67974</v>
      </c>
      <c r="D16" s="223">
        <f>53272+10509</f>
        <v>63781</v>
      </c>
      <c r="E16" s="221">
        <f t="shared" si="0"/>
        <v>20.01</v>
      </c>
      <c r="F16" s="216" t="s">
        <v>114</v>
      </c>
      <c r="G16" s="218"/>
      <c r="H16" s="218"/>
      <c r="I16" s="218"/>
      <c r="J16" s="221"/>
    </row>
    <row r="17" s="197" customFormat="1" ht="23.25" customHeight="1" spans="1:10">
      <c r="A17" s="224" t="s">
        <v>115</v>
      </c>
      <c r="B17" s="218">
        <v>14575</v>
      </c>
      <c r="C17" s="218">
        <v>16910</v>
      </c>
      <c r="D17" s="223">
        <f>16014+896</f>
        <v>16910</v>
      </c>
      <c r="E17" s="221">
        <f t="shared" si="0"/>
        <v>16.02</v>
      </c>
      <c r="F17" s="216" t="s">
        <v>116</v>
      </c>
      <c r="G17" s="218"/>
      <c r="H17" s="218"/>
      <c r="I17" s="218"/>
      <c r="J17" s="221"/>
    </row>
    <row r="18" s="197" customFormat="1" ht="23.25" customHeight="1" spans="1:10">
      <c r="A18" s="593" t="s">
        <v>117</v>
      </c>
      <c r="B18" s="218">
        <v>4906</v>
      </c>
      <c r="C18" s="218">
        <v>8785</v>
      </c>
      <c r="D18" s="223">
        <f>376+339</f>
        <v>715</v>
      </c>
      <c r="E18" s="221">
        <f t="shared" si="0"/>
        <v>-85.43</v>
      </c>
      <c r="F18" s="216" t="s">
        <v>118</v>
      </c>
      <c r="G18" s="218"/>
      <c r="H18" s="218"/>
      <c r="I18" s="218"/>
      <c r="J18" s="221"/>
    </row>
    <row r="19" s="197" customFormat="1" ht="23.25" customHeight="1" spans="1:10">
      <c r="A19" s="592" t="s">
        <v>119</v>
      </c>
      <c r="B19" s="218"/>
      <c r="C19" s="218"/>
      <c r="D19" s="218"/>
      <c r="E19" s="221"/>
      <c r="F19" s="216" t="s">
        <v>120</v>
      </c>
      <c r="G19" s="218"/>
      <c r="H19" s="218"/>
      <c r="I19" s="218"/>
      <c r="J19" s="221"/>
    </row>
    <row r="20" s="197" customFormat="1" ht="23.25" customHeight="1" spans="1:10">
      <c r="A20" s="224" t="s">
        <v>121</v>
      </c>
      <c r="B20" s="218"/>
      <c r="C20" s="218"/>
      <c r="D20" s="218"/>
      <c r="E20" s="221"/>
      <c r="F20" s="215" t="s">
        <v>122</v>
      </c>
      <c r="G20" s="210">
        <f t="shared" ref="G20:I20" si="6">SUM(G21:G38)</f>
        <v>0</v>
      </c>
      <c r="H20" s="210">
        <f t="shared" si="6"/>
        <v>0</v>
      </c>
      <c r="I20" s="210">
        <f t="shared" si="6"/>
        <v>0</v>
      </c>
      <c r="J20" s="212"/>
    </row>
    <row r="21" s="197" customFormat="1" ht="23.25" customHeight="1" spans="1:10">
      <c r="A21" s="224" t="s">
        <v>123</v>
      </c>
      <c r="B21" s="218">
        <v>794</v>
      </c>
      <c r="C21" s="218">
        <v>883</v>
      </c>
      <c r="D21" s="218">
        <v>794</v>
      </c>
      <c r="E21" s="221">
        <f t="shared" ref="E21:E26" si="7">(D21-B21)/B21*100</f>
        <v>0</v>
      </c>
      <c r="F21" s="216" t="s">
        <v>124</v>
      </c>
      <c r="G21" s="218"/>
      <c r="H21" s="218"/>
      <c r="I21" s="218"/>
      <c r="J21" s="221"/>
    </row>
    <row r="22" s="197" customFormat="1" ht="23.25" customHeight="1" spans="1:10">
      <c r="A22" s="224" t="s">
        <v>125</v>
      </c>
      <c r="B22" s="148">
        <v>8886</v>
      </c>
      <c r="C22" s="148">
        <v>12006</v>
      </c>
      <c r="D22" s="226">
        <f>8135+4000</f>
        <v>12135</v>
      </c>
      <c r="E22" s="221">
        <f t="shared" si="7"/>
        <v>36.56</v>
      </c>
      <c r="F22" s="216" t="s">
        <v>126</v>
      </c>
      <c r="G22" s="218"/>
      <c r="H22" s="218"/>
      <c r="I22" s="218"/>
      <c r="J22" s="221"/>
    </row>
    <row r="23" s="197" customFormat="1" ht="23.25" customHeight="1" spans="1:10">
      <c r="A23" s="224" t="s">
        <v>127</v>
      </c>
      <c r="B23" s="148">
        <v>13134</v>
      </c>
      <c r="C23" s="148">
        <v>13954</v>
      </c>
      <c r="D23" s="148">
        <f>13134</f>
        <v>13134</v>
      </c>
      <c r="E23" s="221">
        <f t="shared" si="7"/>
        <v>0</v>
      </c>
      <c r="F23" s="227" t="s">
        <v>128</v>
      </c>
      <c r="G23" s="218"/>
      <c r="H23" s="218"/>
      <c r="I23" s="218"/>
      <c r="J23" s="221"/>
    </row>
    <row r="24" s="197" customFormat="1" ht="23.25" customHeight="1" spans="1:10">
      <c r="A24" s="594" t="s">
        <v>129</v>
      </c>
      <c r="B24" s="148">
        <v>877</v>
      </c>
      <c r="C24" s="148">
        <v>1003</v>
      </c>
      <c r="D24" s="148">
        <v>903</v>
      </c>
      <c r="E24" s="221">
        <f t="shared" si="7"/>
        <v>2.96</v>
      </c>
      <c r="F24" s="216" t="s">
        <v>130</v>
      </c>
      <c r="G24" s="218"/>
      <c r="H24" s="218"/>
      <c r="I24" s="218"/>
      <c r="J24" s="221"/>
    </row>
    <row r="25" s="197" customFormat="1" ht="23.25" customHeight="1" spans="1:10">
      <c r="A25" s="224" t="s">
        <v>131</v>
      </c>
      <c r="B25" s="148">
        <v>11487</v>
      </c>
      <c r="C25" s="148">
        <v>22256</v>
      </c>
      <c r="D25" s="226">
        <f>11487+10769</f>
        <v>22256</v>
      </c>
      <c r="E25" s="221">
        <f t="shared" si="7"/>
        <v>93.75</v>
      </c>
      <c r="F25" s="216" t="s">
        <v>132</v>
      </c>
      <c r="G25" s="218"/>
      <c r="H25" s="218"/>
      <c r="I25" s="218"/>
      <c r="J25" s="221"/>
    </row>
    <row r="26" s="197" customFormat="1" ht="23.25" customHeight="1" spans="1:10">
      <c r="A26" s="594" t="s">
        <v>133</v>
      </c>
      <c r="B26" s="218">
        <v>34729</v>
      </c>
      <c r="C26" s="218">
        <v>62174</v>
      </c>
      <c r="D26" s="218">
        <v>34839</v>
      </c>
      <c r="E26" s="221">
        <f t="shared" si="7"/>
        <v>0.32</v>
      </c>
      <c r="F26" s="216" t="s">
        <v>134</v>
      </c>
      <c r="G26" s="218"/>
      <c r="H26" s="218"/>
      <c r="I26" s="218"/>
      <c r="J26" s="221"/>
    </row>
    <row r="27" s="197" customFormat="1" ht="23.25" customHeight="1" spans="1:10">
      <c r="A27" s="224" t="s">
        <v>135</v>
      </c>
      <c r="B27" s="218"/>
      <c r="C27" s="218"/>
      <c r="D27" s="218"/>
      <c r="E27" s="221"/>
      <c r="F27" s="216" t="s">
        <v>136</v>
      </c>
      <c r="G27" s="218"/>
      <c r="H27" s="218"/>
      <c r="I27" s="218"/>
      <c r="J27" s="221"/>
    </row>
    <row r="28" s="197" customFormat="1" ht="23.25" customHeight="1" spans="1:10">
      <c r="A28" s="224" t="s">
        <v>137</v>
      </c>
      <c r="B28" s="218">
        <v>108</v>
      </c>
      <c r="C28" s="218">
        <v>1700</v>
      </c>
      <c r="D28" s="218">
        <v>8</v>
      </c>
      <c r="E28" s="221"/>
      <c r="F28" s="216" t="s">
        <v>138</v>
      </c>
      <c r="G28" s="218"/>
      <c r="H28" s="218"/>
      <c r="I28" s="218"/>
      <c r="J28" s="221"/>
    </row>
    <row r="29" s="197" customFormat="1" ht="23.25" customHeight="1" spans="1:10">
      <c r="A29" s="224" t="s">
        <v>139</v>
      </c>
      <c r="B29" s="218">
        <v>18263</v>
      </c>
      <c r="C29" s="218">
        <v>20340</v>
      </c>
      <c r="D29" s="223">
        <f>3241+10000</f>
        <v>13241</v>
      </c>
      <c r="E29" s="221">
        <f t="shared" ref="E29:E33" si="8">(D29-B29)/B29*100</f>
        <v>-27.5</v>
      </c>
      <c r="F29" s="216" t="s">
        <v>140</v>
      </c>
      <c r="G29" s="218"/>
      <c r="H29" s="218"/>
      <c r="I29" s="218"/>
      <c r="J29" s="221"/>
    </row>
    <row r="30" s="197" customFormat="1" ht="23.25" customHeight="1" spans="1:10">
      <c r="A30" s="594" t="s">
        <v>141</v>
      </c>
      <c r="B30" s="218"/>
      <c r="C30" s="218">
        <v>0</v>
      </c>
      <c r="D30" s="218"/>
      <c r="E30" s="221"/>
      <c r="F30" s="224" t="s">
        <v>142</v>
      </c>
      <c r="G30" s="218"/>
      <c r="H30" s="218"/>
      <c r="I30" s="218"/>
      <c r="J30" s="221"/>
    </row>
    <row r="31" s="197" customFormat="1" ht="23.25" customHeight="1" spans="1:10">
      <c r="A31" s="224" t="s">
        <v>143</v>
      </c>
      <c r="B31" s="218">
        <v>727</v>
      </c>
      <c r="C31" s="218">
        <v>853</v>
      </c>
      <c r="D31" s="218"/>
      <c r="E31" s="221">
        <f t="shared" si="8"/>
        <v>-100</v>
      </c>
      <c r="F31" s="224" t="s">
        <v>144</v>
      </c>
      <c r="G31" s="218"/>
      <c r="H31" s="218"/>
      <c r="I31" s="218"/>
      <c r="J31" s="221"/>
    </row>
    <row r="32" s="197" customFormat="1" ht="23.25" customHeight="1" spans="1:10">
      <c r="A32" s="224" t="s">
        <v>145</v>
      </c>
      <c r="B32" s="218">
        <v>22522</v>
      </c>
      <c r="C32" s="218">
        <v>30288</v>
      </c>
      <c r="D32" s="223">
        <f>22164+3000</f>
        <v>25164</v>
      </c>
      <c r="E32" s="221">
        <f t="shared" si="8"/>
        <v>11.73</v>
      </c>
      <c r="F32" s="224" t="s">
        <v>146</v>
      </c>
      <c r="G32" s="218"/>
      <c r="H32" s="218"/>
      <c r="I32" s="218"/>
      <c r="J32" s="221"/>
    </row>
    <row r="33" s="197" customFormat="1" ht="23.25" customHeight="1" spans="1:10">
      <c r="A33" s="224" t="s">
        <v>147</v>
      </c>
      <c r="B33" s="218">
        <v>7083</v>
      </c>
      <c r="C33" s="218">
        <v>7683</v>
      </c>
      <c r="D33" s="223">
        <f>4756+1000</f>
        <v>5756</v>
      </c>
      <c r="E33" s="221">
        <f t="shared" si="8"/>
        <v>-18.73</v>
      </c>
      <c r="F33" s="227" t="s">
        <v>148</v>
      </c>
      <c r="G33" s="218"/>
      <c r="H33" s="218"/>
      <c r="I33" s="218"/>
      <c r="J33" s="221"/>
    </row>
    <row r="34" s="197" customFormat="1" ht="23.25" customHeight="1" spans="1:10">
      <c r="A34" s="594" t="s">
        <v>149</v>
      </c>
      <c r="B34" s="218">
        <v>828</v>
      </c>
      <c r="C34" s="218">
        <v>1194</v>
      </c>
      <c r="D34" s="218">
        <v>1660</v>
      </c>
      <c r="E34" s="221"/>
      <c r="F34" s="224" t="s">
        <v>150</v>
      </c>
      <c r="G34" s="218"/>
      <c r="H34" s="218"/>
      <c r="I34" s="218"/>
      <c r="J34" s="221"/>
    </row>
    <row r="35" s="197" customFormat="1" ht="23.25" customHeight="1" spans="1:10">
      <c r="A35" s="594" t="s">
        <v>151</v>
      </c>
      <c r="B35" s="218">
        <v>5231</v>
      </c>
      <c r="C35" s="218">
        <v>18826</v>
      </c>
      <c r="D35" s="223">
        <f>5122+7121</f>
        <v>12243</v>
      </c>
      <c r="E35" s="221">
        <f>(D35-B35)/B35*100</f>
        <v>134.05</v>
      </c>
      <c r="F35" s="224" t="s">
        <v>152</v>
      </c>
      <c r="G35" s="218"/>
      <c r="H35" s="218"/>
      <c r="I35" s="218"/>
      <c r="J35" s="221"/>
    </row>
    <row r="36" s="197" customFormat="1" ht="23.25" customHeight="1" spans="1:10">
      <c r="A36" s="594" t="s">
        <v>153</v>
      </c>
      <c r="B36" s="218">
        <v>776</v>
      </c>
      <c r="C36" s="218">
        <v>7426</v>
      </c>
      <c r="D36" s="218">
        <v>791</v>
      </c>
      <c r="E36" s="221"/>
      <c r="F36" s="224" t="s">
        <v>154</v>
      </c>
      <c r="G36" s="218"/>
      <c r="H36" s="218"/>
      <c r="I36" s="218"/>
      <c r="J36" s="221"/>
    </row>
    <row r="37" s="197" customFormat="1" ht="23.25" customHeight="1" spans="1:10">
      <c r="A37" s="224" t="s">
        <v>155</v>
      </c>
      <c r="B37" s="218">
        <v>194</v>
      </c>
      <c r="C37" s="218">
        <v>509</v>
      </c>
      <c r="D37" s="218">
        <v>492</v>
      </c>
      <c r="E37" s="221">
        <f>(D37-B37)/B37*100</f>
        <v>153.61</v>
      </c>
      <c r="F37" s="224" t="s">
        <v>156</v>
      </c>
      <c r="G37" s="218"/>
      <c r="H37" s="218"/>
      <c r="I37" s="218"/>
      <c r="J37" s="221"/>
    </row>
    <row r="38" s="197" customFormat="1" ht="23.25" customHeight="1" spans="1:10">
      <c r="A38" s="594" t="s">
        <v>157</v>
      </c>
      <c r="B38" s="218"/>
      <c r="C38" s="218">
        <v>115</v>
      </c>
      <c r="D38" s="218"/>
      <c r="E38" s="221"/>
      <c r="F38" s="216" t="s">
        <v>160</v>
      </c>
      <c r="G38" s="218"/>
      <c r="H38" s="218"/>
      <c r="I38" s="218"/>
      <c r="J38" s="221"/>
    </row>
    <row r="39" s="197" customFormat="1" ht="23.25" customHeight="1" spans="1:10">
      <c r="A39" s="594" t="s">
        <v>159</v>
      </c>
      <c r="B39" s="218"/>
      <c r="C39" s="218"/>
      <c r="D39" s="218"/>
      <c r="E39" s="221"/>
      <c r="F39" s="224"/>
      <c r="G39" s="218"/>
      <c r="H39" s="218"/>
      <c r="I39" s="218"/>
      <c r="J39" s="221"/>
    </row>
    <row r="40" s="197" customFormat="1" ht="23.25" customHeight="1" spans="1:10">
      <c r="A40" s="594" t="s">
        <v>161</v>
      </c>
      <c r="B40" s="218"/>
      <c r="C40" s="218"/>
      <c r="D40" s="218"/>
      <c r="E40" s="221"/>
      <c r="F40" s="224"/>
      <c r="G40" s="218"/>
      <c r="H40" s="218"/>
      <c r="I40" s="218"/>
      <c r="J40" s="221"/>
    </row>
    <row r="41" s="197" customFormat="1" ht="23.25" customHeight="1" spans="1:10">
      <c r="A41" s="594" t="s">
        <v>162</v>
      </c>
      <c r="B41" s="218"/>
      <c r="C41" s="218"/>
      <c r="D41" s="218"/>
      <c r="E41" s="221"/>
      <c r="F41" s="224"/>
      <c r="G41" s="218"/>
      <c r="H41" s="218"/>
      <c r="I41" s="218"/>
      <c r="J41" s="221"/>
    </row>
    <row r="42" s="197" customFormat="1" ht="23.25" customHeight="1" spans="1:10">
      <c r="A42" s="224" t="s">
        <v>163</v>
      </c>
      <c r="B42" s="218">
        <v>5614</v>
      </c>
      <c r="C42" s="218">
        <v>1241</v>
      </c>
      <c r="D42" s="218">
        <v>230</v>
      </c>
      <c r="E42" s="221">
        <f t="shared" ref="E42:E44" si="9">(D42-B42)/B42*100</f>
        <v>-95.9</v>
      </c>
      <c r="F42" s="216"/>
      <c r="G42" s="218"/>
      <c r="H42" s="218"/>
      <c r="I42" s="218"/>
      <c r="J42" s="221"/>
    </row>
    <row r="43" s="197" customFormat="1" ht="23.25" customHeight="1" spans="1:10">
      <c r="A43" s="229" t="s">
        <v>164</v>
      </c>
      <c r="B43" s="210">
        <f t="shared" ref="B43:I43" si="10">SUM(B44:B64)</f>
        <v>24662</v>
      </c>
      <c r="C43" s="210">
        <f t="shared" si="10"/>
        <v>24978</v>
      </c>
      <c r="D43" s="210">
        <f t="shared" si="10"/>
        <v>1373</v>
      </c>
      <c r="E43" s="212">
        <f t="shared" si="9"/>
        <v>-94.43</v>
      </c>
      <c r="F43" s="215" t="s">
        <v>165</v>
      </c>
      <c r="G43" s="210">
        <f t="shared" si="10"/>
        <v>0</v>
      </c>
      <c r="H43" s="210">
        <f t="shared" si="10"/>
        <v>0</v>
      </c>
      <c r="I43" s="210">
        <f t="shared" si="10"/>
        <v>0</v>
      </c>
      <c r="J43" s="212"/>
    </row>
    <row r="44" s="197" customFormat="1" ht="23.25" customHeight="1" spans="1:10">
      <c r="A44" s="224" t="s">
        <v>166</v>
      </c>
      <c r="B44" s="218">
        <v>75</v>
      </c>
      <c r="C44" s="218">
        <v>76</v>
      </c>
      <c r="D44" s="218">
        <v>55</v>
      </c>
      <c r="E44" s="221">
        <f t="shared" si="9"/>
        <v>-26.67</v>
      </c>
      <c r="F44" s="216" t="s">
        <v>166</v>
      </c>
      <c r="G44" s="218"/>
      <c r="H44" s="218"/>
      <c r="I44" s="218"/>
      <c r="J44" s="221"/>
    </row>
    <row r="45" s="197" customFormat="1" ht="23.25" customHeight="1" spans="1:10">
      <c r="A45" s="224" t="s">
        <v>167</v>
      </c>
      <c r="B45" s="218"/>
      <c r="C45" s="218">
        <v>0</v>
      </c>
      <c r="D45" s="218"/>
      <c r="E45" s="221"/>
      <c r="F45" s="216" t="s">
        <v>167</v>
      </c>
      <c r="G45" s="218"/>
      <c r="H45" s="218"/>
      <c r="I45" s="218"/>
      <c r="J45" s="221"/>
    </row>
    <row r="46" s="197" customFormat="1" ht="23.25" customHeight="1" spans="1:10">
      <c r="A46" s="224" t="s">
        <v>168</v>
      </c>
      <c r="B46" s="218"/>
      <c r="C46" s="218">
        <v>0</v>
      </c>
      <c r="D46" s="218"/>
      <c r="E46" s="221"/>
      <c r="F46" s="216" t="s">
        <v>168</v>
      </c>
      <c r="G46" s="218"/>
      <c r="H46" s="218"/>
      <c r="I46" s="218"/>
      <c r="J46" s="221"/>
    </row>
    <row r="47" s="197" customFormat="1" ht="23.25" customHeight="1" spans="1:10">
      <c r="A47" s="224" t="s">
        <v>169</v>
      </c>
      <c r="B47" s="218"/>
      <c r="C47" s="218">
        <v>0</v>
      </c>
      <c r="D47" s="218"/>
      <c r="E47" s="221"/>
      <c r="F47" s="216" t="s">
        <v>169</v>
      </c>
      <c r="G47" s="218"/>
      <c r="H47" s="218"/>
      <c r="I47" s="218"/>
      <c r="J47" s="221"/>
    </row>
    <row r="48" s="197" customFormat="1" ht="23.25" customHeight="1" spans="1:10">
      <c r="A48" s="224" t="s">
        <v>170</v>
      </c>
      <c r="B48" s="148">
        <v>1000</v>
      </c>
      <c r="C48" s="148">
        <v>0</v>
      </c>
      <c r="D48" s="148"/>
      <c r="E48" s="221"/>
      <c r="F48" s="216" t="s">
        <v>170</v>
      </c>
      <c r="G48" s="218"/>
      <c r="H48" s="218"/>
      <c r="I48" s="218"/>
      <c r="J48" s="221"/>
    </row>
    <row r="49" s="197" customFormat="1" ht="23.25" customHeight="1" spans="1:10">
      <c r="A49" s="224" t="s">
        <v>171</v>
      </c>
      <c r="B49" s="148"/>
      <c r="C49" s="148">
        <v>0</v>
      </c>
      <c r="D49" s="148"/>
      <c r="E49" s="221"/>
      <c r="F49" s="216" t="s">
        <v>171</v>
      </c>
      <c r="G49" s="218"/>
      <c r="H49" s="218"/>
      <c r="I49" s="218"/>
      <c r="J49" s="221"/>
    </row>
    <row r="50" s="197" customFormat="1" ht="23.25" customHeight="1" spans="1:10">
      <c r="A50" s="594" t="s">
        <v>172</v>
      </c>
      <c r="B50" s="36">
        <v>2000</v>
      </c>
      <c r="C50" s="36">
        <v>1000</v>
      </c>
      <c r="D50" s="36"/>
      <c r="E50" s="221"/>
      <c r="F50" s="216" t="s">
        <v>173</v>
      </c>
      <c r="G50" s="218"/>
      <c r="H50" s="218"/>
      <c r="I50" s="218"/>
      <c r="J50" s="221"/>
    </row>
    <row r="51" s="197" customFormat="1" ht="23.25" customHeight="1" spans="1:10">
      <c r="A51" s="224" t="s">
        <v>174</v>
      </c>
      <c r="B51" s="36">
        <v>178</v>
      </c>
      <c r="C51" s="36">
        <v>68</v>
      </c>
      <c r="D51" s="159">
        <v>28</v>
      </c>
      <c r="E51" s="221">
        <f t="shared" ref="E51:E55" si="11">(D51-B51)/B51*100</f>
        <v>-84.27</v>
      </c>
      <c r="F51" s="216" t="s">
        <v>174</v>
      </c>
      <c r="G51" s="218"/>
      <c r="H51" s="218"/>
      <c r="I51" s="218"/>
      <c r="J51" s="221"/>
    </row>
    <row r="52" s="197" customFormat="1" ht="23.25" customHeight="1" spans="1:10">
      <c r="A52" s="594" t="s">
        <v>175</v>
      </c>
      <c r="B52" s="36">
        <v>253</v>
      </c>
      <c r="C52" s="36">
        <v>286</v>
      </c>
      <c r="D52" s="159"/>
      <c r="E52" s="221">
        <f t="shared" si="11"/>
        <v>-100</v>
      </c>
      <c r="F52" s="216" t="s">
        <v>176</v>
      </c>
      <c r="G52" s="218"/>
      <c r="H52" s="218"/>
      <c r="I52" s="218"/>
      <c r="J52" s="221"/>
    </row>
    <row r="53" s="197" customFormat="1" ht="23.25" customHeight="1" spans="1:10">
      <c r="A53" s="224" t="s">
        <v>177</v>
      </c>
      <c r="B53" s="36">
        <v>118</v>
      </c>
      <c r="C53" s="36">
        <v>610</v>
      </c>
      <c r="D53" s="159">
        <v>20</v>
      </c>
      <c r="E53" s="221">
        <f t="shared" si="11"/>
        <v>-83.05</v>
      </c>
      <c r="F53" s="216" t="s">
        <v>177</v>
      </c>
      <c r="G53" s="218"/>
      <c r="H53" s="218"/>
      <c r="I53" s="218"/>
      <c r="J53" s="221"/>
    </row>
    <row r="54" s="197" customFormat="1" ht="23.25" customHeight="1" spans="1:10">
      <c r="A54" s="224" t="s">
        <v>178</v>
      </c>
      <c r="B54" s="36"/>
      <c r="C54" s="36">
        <v>207</v>
      </c>
      <c r="D54" s="159"/>
      <c r="E54" s="221" t="e">
        <f t="shared" si="11"/>
        <v>#DIV/0!</v>
      </c>
      <c r="F54" s="216" t="s">
        <v>178</v>
      </c>
      <c r="G54" s="218"/>
      <c r="H54" s="218"/>
      <c r="I54" s="218"/>
      <c r="J54" s="221"/>
    </row>
    <row r="55" s="197" customFormat="1" ht="23.25" customHeight="1" spans="1:10">
      <c r="A55" s="224" t="s">
        <v>179</v>
      </c>
      <c r="B55" s="36">
        <v>18926</v>
      </c>
      <c r="C55" s="36">
        <v>19177</v>
      </c>
      <c r="D55" s="159">
        <v>1120</v>
      </c>
      <c r="E55" s="221">
        <f t="shared" si="11"/>
        <v>-94.08</v>
      </c>
      <c r="F55" s="216" t="s">
        <v>179</v>
      </c>
      <c r="G55" s="218"/>
      <c r="H55" s="218"/>
      <c r="I55" s="218"/>
      <c r="J55" s="221"/>
    </row>
    <row r="56" s="197" customFormat="1" ht="23.25" customHeight="1" spans="1:10">
      <c r="A56" s="224" t="s">
        <v>180</v>
      </c>
      <c r="B56" s="148">
        <v>87</v>
      </c>
      <c r="C56" s="148">
        <v>432</v>
      </c>
      <c r="D56" s="148">
        <v>85</v>
      </c>
      <c r="E56" s="221"/>
      <c r="F56" s="224" t="s">
        <v>180</v>
      </c>
      <c r="G56" s="218"/>
      <c r="H56" s="218"/>
      <c r="I56" s="218"/>
      <c r="J56" s="221"/>
    </row>
    <row r="57" s="197" customFormat="1" ht="23.25" customHeight="1" spans="1:10">
      <c r="A57" s="224" t="s">
        <v>181</v>
      </c>
      <c r="B57" s="218"/>
      <c r="C57" s="218">
        <v>221</v>
      </c>
      <c r="D57" s="218"/>
      <c r="E57" s="221"/>
      <c r="F57" s="224" t="s">
        <v>181</v>
      </c>
      <c r="G57" s="218"/>
      <c r="H57" s="218"/>
      <c r="I57" s="218"/>
      <c r="J57" s="221"/>
    </row>
    <row r="58" s="197" customFormat="1" ht="23.25" customHeight="1" spans="1:10">
      <c r="A58" s="224" t="s">
        <v>182</v>
      </c>
      <c r="B58" s="218"/>
      <c r="C58" s="218">
        <v>0</v>
      </c>
      <c r="D58" s="218"/>
      <c r="E58" s="221"/>
      <c r="F58" s="224" t="s">
        <v>182</v>
      </c>
      <c r="G58" s="218"/>
      <c r="H58" s="218"/>
      <c r="I58" s="218"/>
      <c r="J58" s="221"/>
    </row>
    <row r="59" s="197" customFormat="1" ht="23.25" customHeight="1" spans="1:10">
      <c r="A59" s="224" t="s">
        <v>183</v>
      </c>
      <c r="B59" s="218"/>
      <c r="C59" s="218">
        <v>543</v>
      </c>
      <c r="D59" s="218"/>
      <c r="E59" s="221"/>
      <c r="F59" s="224" t="s">
        <v>183</v>
      </c>
      <c r="G59" s="218"/>
      <c r="H59" s="218"/>
      <c r="I59" s="218"/>
      <c r="J59" s="221"/>
    </row>
    <row r="60" s="197" customFormat="1" ht="23.25" customHeight="1" spans="1:10">
      <c r="A60" s="594" t="s">
        <v>184</v>
      </c>
      <c r="B60" s="218">
        <v>56</v>
      </c>
      <c r="C60" s="218">
        <v>56</v>
      </c>
      <c r="D60" s="218">
        <v>5</v>
      </c>
      <c r="E60" s="221">
        <f t="shared" ref="E60:E66" si="12">(D60-B60)/B60*100</f>
        <v>-91.07</v>
      </c>
      <c r="F60" s="224" t="s">
        <v>185</v>
      </c>
      <c r="G60" s="218"/>
      <c r="H60" s="218"/>
      <c r="I60" s="218"/>
      <c r="J60" s="221"/>
    </row>
    <row r="61" s="197" customFormat="1" ht="23.25" customHeight="1" spans="1:10">
      <c r="A61" s="224" t="s">
        <v>186</v>
      </c>
      <c r="B61" s="218">
        <v>70</v>
      </c>
      <c r="C61" s="218">
        <v>318</v>
      </c>
      <c r="D61" s="218"/>
      <c r="E61" s="221"/>
      <c r="F61" s="224" t="s">
        <v>186</v>
      </c>
      <c r="G61" s="218"/>
      <c r="H61" s="218"/>
      <c r="I61" s="218"/>
      <c r="J61" s="221"/>
    </row>
    <row r="62" s="197" customFormat="1" ht="23.25" customHeight="1" spans="1:10">
      <c r="A62" s="224" t="s">
        <v>187</v>
      </c>
      <c r="B62" s="218">
        <v>30</v>
      </c>
      <c r="C62" s="218">
        <v>30</v>
      </c>
      <c r="D62" s="218"/>
      <c r="E62" s="221"/>
      <c r="F62" s="224" t="s">
        <v>187</v>
      </c>
      <c r="G62" s="218"/>
      <c r="H62" s="218"/>
      <c r="I62" s="218"/>
      <c r="J62" s="221"/>
    </row>
    <row r="63" s="197" customFormat="1" ht="23.25" customHeight="1" spans="1:10">
      <c r="A63" s="224" t="s">
        <v>188</v>
      </c>
      <c r="B63" s="218">
        <v>1869</v>
      </c>
      <c r="C63" s="218">
        <v>1954</v>
      </c>
      <c r="D63" s="218">
        <v>60</v>
      </c>
      <c r="E63" s="221">
        <f t="shared" si="12"/>
        <v>-96.79</v>
      </c>
      <c r="F63" s="224" t="s">
        <v>188</v>
      </c>
      <c r="G63" s="218"/>
      <c r="H63" s="218"/>
      <c r="I63" s="218"/>
      <c r="J63" s="221"/>
    </row>
    <row r="64" s="197" customFormat="1" ht="23.25" customHeight="1" spans="1:10">
      <c r="A64" s="595" t="s">
        <v>189</v>
      </c>
      <c r="B64" s="218"/>
      <c r="C64" s="218"/>
      <c r="D64" s="218"/>
      <c r="E64" s="221"/>
      <c r="F64" s="216" t="s">
        <v>189</v>
      </c>
      <c r="G64" s="218"/>
      <c r="H64" s="218"/>
      <c r="I64" s="218"/>
      <c r="J64" s="221"/>
    </row>
    <row r="65" s="197" customFormat="1" ht="23.25" customHeight="1" spans="1:10">
      <c r="A65" s="596" t="s">
        <v>190</v>
      </c>
      <c r="B65" s="210">
        <f>B66+B67</f>
        <v>8152</v>
      </c>
      <c r="C65" s="210">
        <f>C66+C67</f>
        <v>200</v>
      </c>
      <c r="D65" s="210">
        <f>D66+D67</f>
        <v>11463</v>
      </c>
      <c r="E65" s="212">
        <f t="shared" si="12"/>
        <v>40.62</v>
      </c>
      <c r="F65" s="215" t="s">
        <v>191</v>
      </c>
      <c r="G65" s="210"/>
      <c r="H65" s="210"/>
      <c r="I65" s="210"/>
      <c r="J65" s="212"/>
    </row>
    <row r="66" s="197" customFormat="1" ht="23.25" customHeight="1" spans="1:10">
      <c r="A66" s="597" t="s">
        <v>192</v>
      </c>
      <c r="B66" s="218">
        <v>8152</v>
      </c>
      <c r="C66" s="218"/>
      <c r="D66" s="234">
        <v>11463</v>
      </c>
      <c r="E66" s="221">
        <f t="shared" si="12"/>
        <v>40.62</v>
      </c>
      <c r="F66" s="216"/>
      <c r="G66" s="218"/>
      <c r="H66" s="218"/>
      <c r="I66" s="218"/>
      <c r="J66" s="221"/>
    </row>
    <row r="67" s="197" customFormat="1" ht="23.25" customHeight="1" spans="1:10">
      <c r="A67" s="597" t="s">
        <v>193</v>
      </c>
      <c r="B67" s="218"/>
      <c r="C67" s="218">
        <v>200</v>
      </c>
      <c r="D67" s="218"/>
      <c r="E67" s="221"/>
      <c r="F67" s="216"/>
      <c r="G67" s="218"/>
      <c r="H67" s="218"/>
      <c r="I67" s="218"/>
      <c r="J67" s="221"/>
    </row>
    <row r="68" s="197" customFormat="1" ht="23.25" customHeight="1" spans="1:10">
      <c r="A68" s="591" t="s">
        <v>194</v>
      </c>
      <c r="B68" s="210">
        <f>B69+B70+B72</f>
        <v>0</v>
      </c>
      <c r="C68" s="210">
        <f>C69+C70+C72</f>
        <v>13978</v>
      </c>
      <c r="D68" s="210">
        <f>D69+D70+D72</f>
        <v>0</v>
      </c>
      <c r="E68" s="212"/>
      <c r="F68" s="235" t="s">
        <v>195</v>
      </c>
      <c r="G68" s="210">
        <f t="shared" ref="G68:I68" si="13">SUM(G69:G72)</f>
        <v>1400</v>
      </c>
      <c r="H68" s="210">
        <f t="shared" si="13"/>
        <v>14501</v>
      </c>
      <c r="I68" s="210">
        <f t="shared" si="13"/>
        <v>800</v>
      </c>
      <c r="J68" s="212">
        <f>(I68-G68)/G68*100</f>
        <v>-42.86</v>
      </c>
    </row>
    <row r="69" s="197" customFormat="1" ht="23.25" customHeight="1" spans="1:10">
      <c r="A69" s="216" t="s">
        <v>196</v>
      </c>
      <c r="B69" s="218"/>
      <c r="C69" s="218">
        <v>13077</v>
      </c>
      <c r="D69" s="218"/>
      <c r="E69" s="221"/>
      <c r="F69" s="597" t="s">
        <v>197</v>
      </c>
      <c r="G69" s="218">
        <v>1400</v>
      </c>
      <c r="H69" s="218">
        <v>13600</v>
      </c>
      <c r="I69" s="218">
        <v>800</v>
      </c>
      <c r="J69" s="221">
        <f>(I69-G69)/G69*100</f>
        <v>-42.86</v>
      </c>
    </row>
    <row r="70" s="197" customFormat="1" ht="23.25" customHeight="1" spans="1:10">
      <c r="A70" s="598" t="s">
        <v>198</v>
      </c>
      <c r="B70" s="218"/>
      <c r="C70" s="218"/>
      <c r="D70" s="218"/>
      <c r="E70" s="221"/>
      <c r="F70" s="216" t="s">
        <v>199</v>
      </c>
      <c r="G70" s="218"/>
      <c r="H70" s="218"/>
      <c r="I70" s="218"/>
      <c r="J70" s="221"/>
    </row>
    <row r="71" s="197" customFormat="1" ht="23.25" customHeight="1" spans="1:10">
      <c r="A71" s="598" t="s">
        <v>200</v>
      </c>
      <c r="B71" s="218"/>
      <c r="C71" s="218"/>
      <c r="D71" s="218"/>
      <c r="E71" s="221"/>
      <c r="F71" s="216" t="s">
        <v>201</v>
      </c>
      <c r="G71" s="218"/>
      <c r="H71" s="218"/>
      <c r="I71" s="218"/>
      <c r="J71" s="221"/>
    </row>
    <row r="72" s="197" customFormat="1" ht="23.25" customHeight="1" spans="1:10">
      <c r="A72" s="598" t="s">
        <v>202</v>
      </c>
      <c r="B72" s="218"/>
      <c r="C72" s="218">
        <v>901</v>
      </c>
      <c r="D72" s="218"/>
      <c r="E72" s="221"/>
      <c r="F72" s="216" t="s">
        <v>203</v>
      </c>
      <c r="G72" s="218"/>
      <c r="H72" s="218">
        <v>901</v>
      </c>
      <c r="I72" s="218"/>
      <c r="J72" s="221"/>
    </row>
    <row r="73" s="196" customFormat="1" ht="23.25" customHeight="1" spans="1:10">
      <c r="A73" s="229" t="s">
        <v>204</v>
      </c>
      <c r="B73" s="210"/>
      <c r="C73" s="210"/>
      <c r="D73" s="210"/>
      <c r="E73" s="212"/>
      <c r="F73" s="216"/>
      <c r="G73" s="218"/>
      <c r="H73" s="218"/>
      <c r="I73" s="218"/>
      <c r="J73" s="221"/>
    </row>
    <row r="74" s="196" customFormat="1" ht="23.25" customHeight="1" spans="1:10">
      <c r="A74" s="224" t="s">
        <v>205</v>
      </c>
      <c r="B74" s="218"/>
      <c r="C74" s="218"/>
      <c r="D74" s="218"/>
      <c r="E74" s="221"/>
      <c r="F74" s="216"/>
      <c r="G74" s="236"/>
      <c r="H74" s="236"/>
      <c r="I74" s="236"/>
      <c r="J74" s="221"/>
    </row>
    <row r="75" s="196" customFormat="1" ht="23.25" customHeight="1" spans="1:10">
      <c r="A75" s="218" t="s">
        <v>206</v>
      </c>
      <c r="B75" s="218"/>
      <c r="C75" s="218"/>
      <c r="D75" s="218"/>
      <c r="E75" s="221"/>
      <c r="F75" s="216"/>
      <c r="G75" s="218"/>
      <c r="H75" s="218"/>
      <c r="I75" s="218"/>
      <c r="J75" s="221"/>
    </row>
    <row r="76" s="196" customFormat="1" ht="23.25" customHeight="1" spans="1:10">
      <c r="A76" s="596" t="s">
        <v>207</v>
      </c>
      <c r="B76" s="210">
        <v>1513</v>
      </c>
      <c r="C76" s="210">
        <v>1513</v>
      </c>
      <c r="D76" s="211">
        <v>2151</v>
      </c>
      <c r="E76" s="212">
        <f t="shared" ref="E76:E78" si="14">(D76-B76)/B76*100</f>
        <v>42.17</v>
      </c>
      <c r="F76" s="596" t="s">
        <v>208</v>
      </c>
      <c r="G76" s="210"/>
      <c r="H76" s="210">
        <v>2151</v>
      </c>
      <c r="I76" s="210"/>
      <c r="J76" s="212"/>
    </row>
    <row r="77" s="196" customFormat="1" ht="23.25" customHeight="1" spans="1:10">
      <c r="A77" s="214" t="s">
        <v>209</v>
      </c>
      <c r="B77" s="210">
        <f>SUM(B78:B79)</f>
        <v>74831</v>
      </c>
      <c r="C77" s="210">
        <f>SUM(C78:C79)</f>
        <v>86680</v>
      </c>
      <c r="D77" s="210">
        <f>SUM(D78:D79)</f>
        <v>102871</v>
      </c>
      <c r="E77" s="212">
        <f t="shared" si="14"/>
        <v>37.47</v>
      </c>
      <c r="F77" s="215" t="s">
        <v>210</v>
      </c>
      <c r="G77" s="210">
        <f t="shared" ref="G77:I77" si="15">G78+G79</f>
        <v>0</v>
      </c>
      <c r="H77" s="210">
        <f t="shared" si="15"/>
        <v>102871</v>
      </c>
      <c r="I77" s="210">
        <f t="shared" si="15"/>
        <v>0</v>
      </c>
      <c r="J77" s="212"/>
    </row>
    <row r="78" s="196" customFormat="1" ht="23.25" customHeight="1" spans="1:10">
      <c r="A78" s="219" t="s">
        <v>211</v>
      </c>
      <c r="B78" s="218">
        <v>74831</v>
      </c>
      <c r="C78" s="218">
        <v>86680</v>
      </c>
      <c r="D78" s="218">
        <v>102871</v>
      </c>
      <c r="E78" s="221">
        <f t="shared" si="14"/>
        <v>37.47</v>
      </c>
      <c r="F78" s="216" t="s">
        <v>212</v>
      </c>
      <c r="G78" s="218"/>
      <c r="H78" s="218">
        <v>102871</v>
      </c>
      <c r="I78" s="218"/>
      <c r="J78" s="221"/>
    </row>
    <row r="79" s="196" customFormat="1" ht="23.25" customHeight="1" spans="1:10">
      <c r="A79" s="219" t="s">
        <v>213</v>
      </c>
      <c r="B79" s="218"/>
      <c r="C79" s="218"/>
      <c r="D79" s="218"/>
      <c r="E79" s="221"/>
      <c r="F79" s="216" t="s">
        <v>213</v>
      </c>
      <c r="G79" s="218"/>
      <c r="H79" s="218"/>
      <c r="I79" s="218"/>
      <c r="J79" s="221"/>
    </row>
    <row r="80" s="196" customFormat="1" ht="23.25" customHeight="1" spans="1:10">
      <c r="A80" s="237"/>
      <c r="B80" s="218"/>
      <c r="C80" s="218"/>
      <c r="D80" s="218"/>
      <c r="E80" s="221"/>
      <c r="F80" s="238"/>
      <c r="G80" s="218"/>
      <c r="H80" s="218"/>
      <c r="I80" s="218"/>
      <c r="J80" s="221"/>
    </row>
    <row r="81" s="196" customFormat="1" ht="23.25" customHeight="1" spans="1:10">
      <c r="A81" s="239" t="s">
        <v>214</v>
      </c>
      <c r="B81" s="210">
        <f>SUM(B5+B6)</f>
        <v>342967</v>
      </c>
      <c r="C81" s="210">
        <f>SUM(C5+C6)</f>
        <v>451023</v>
      </c>
      <c r="D81" s="210">
        <f>SUM(D5+D6)</f>
        <v>370616</v>
      </c>
      <c r="E81" s="212">
        <f>(D81-B81)/B81*100</f>
        <v>8.06</v>
      </c>
      <c r="F81" s="239" t="s">
        <v>215</v>
      </c>
      <c r="G81" s="213">
        <f t="shared" ref="G81:I81" si="16">SUM(G5+G6+G76+G77)</f>
        <v>342967</v>
      </c>
      <c r="H81" s="213">
        <f t="shared" si="16"/>
        <v>451023</v>
      </c>
      <c r="I81" s="213">
        <f t="shared" si="16"/>
        <v>370616</v>
      </c>
      <c r="J81" s="212">
        <f>(I81-G81)/G81*100</f>
        <v>8.06</v>
      </c>
    </row>
    <row r="82" s="196" customFormat="1" spans="9:9">
      <c r="I82" s="196">
        <f>D81-I81</f>
        <v>0</v>
      </c>
    </row>
  </sheetData>
  <mergeCells count="4">
    <mergeCell ref="A1:J1"/>
    <mergeCell ref="G2:J2"/>
    <mergeCell ref="A3:B3"/>
    <mergeCell ref="F3:J3"/>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zoomScaleSheetLayoutView="60" workbookViewId="0">
      <selection activeCell="F8" sqref="F8"/>
    </sheetView>
  </sheetViews>
  <sheetFormatPr defaultColWidth="9" defaultRowHeight="15" outlineLevelCol="6"/>
  <cols>
    <col min="1" max="1" width="31.5" style="240" customWidth="1"/>
    <col min="2" max="2" width="12.625" style="240" customWidth="1"/>
    <col min="3" max="3" width="10.375" style="240" customWidth="1"/>
    <col min="4" max="5" width="11.25" style="240" customWidth="1"/>
    <col min="6" max="6" width="11.375" style="240" customWidth="1"/>
    <col min="7" max="7" width="10.625" style="240" customWidth="1"/>
    <col min="8" max="16384" width="9" style="240"/>
  </cols>
  <sheetData>
    <row r="1" s="240" customFormat="1" ht="21" spans="1:7">
      <c r="A1" s="584" t="s">
        <v>50</v>
      </c>
      <c r="B1" s="558"/>
      <c r="C1" s="558"/>
      <c r="D1" s="558"/>
      <c r="E1" s="558"/>
      <c r="F1" s="558"/>
      <c r="G1" s="558"/>
    </row>
    <row r="2" s="240" customFormat="1" spans="1:7">
      <c r="A2" s="559"/>
      <c r="B2" s="560"/>
      <c r="C2" s="560"/>
      <c r="D2" s="560"/>
      <c r="E2" s="560"/>
      <c r="F2" s="561" t="s">
        <v>51</v>
      </c>
      <c r="G2" s="561"/>
    </row>
    <row r="3" s="240" customFormat="1" ht="46.5" customHeight="1" spans="1:7">
      <c r="A3" s="562" t="s">
        <v>52</v>
      </c>
      <c r="B3" s="585" t="s">
        <v>53</v>
      </c>
      <c r="C3" s="585" t="s">
        <v>54</v>
      </c>
      <c r="D3" s="585" t="s">
        <v>55</v>
      </c>
      <c r="E3" s="585" t="s">
        <v>56</v>
      </c>
      <c r="F3" s="563" t="s">
        <v>57</v>
      </c>
      <c r="G3" s="563" t="s">
        <v>58</v>
      </c>
    </row>
    <row r="4" s="240" customFormat="1" ht="24" customHeight="1" spans="1:7">
      <c r="A4" s="564" t="s">
        <v>59</v>
      </c>
      <c r="B4" s="564">
        <f>SUM(B5:B18)</f>
        <v>13385</v>
      </c>
      <c r="C4" s="564">
        <f>SUM(C5:C18)</f>
        <v>18130</v>
      </c>
      <c r="D4" s="564">
        <f>SUM(D5:D18)</f>
        <v>14512</v>
      </c>
      <c r="E4" s="564">
        <f>SUM(E5:E18)</f>
        <v>15766</v>
      </c>
      <c r="F4" s="565">
        <f t="shared" ref="F4:F26" si="0">IF(B4=0,,SUM(E4/B4*100)-100)</f>
        <v>17.79</v>
      </c>
      <c r="G4" s="566">
        <f t="shared" ref="G4:G17" si="1">E4/D4*100</f>
        <v>108.64</v>
      </c>
    </row>
    <row r="5" s="240" customFormat="1" ht="26.25" customHeight="1" spans="1:7">
      <c r="A5" s="567" t="s">
        <v>60</v>
      </c>
      <c r="B5" s="100">
        <v>4646</v>
      </c>
      <c r="C5" s="567">
        <v>7500</v>
      </c>
      <c r="D5" s="567">
        <v>3983</v>
      </c>
      <c r="E5" s="339">
        <v>4029</v>
      </c>
      <c r="F5" s="568">
        <f t="shared" si="0"/>
        <v>-13.28</v>
      </c>
      <c r="G5" s="569">
        <f t="shared" si="1"/>
        <v>101.15</v>
      </c>
    </row>
    <row r="6" s="240" customFormat="1" ht="26.25" customHeight="1" spans="1:7">
      <c r="A6" s="567" t="s">
        <v>61</v>
      </c>
      <c r="B6" s="100">
        <v>1818</v>
      </c>
      <c r="C6" s="567">
        <v>2500</v>
      </c>
      <c r="D6" s="567">
        <v>1012</v>
      </c>
      <c r="E6" s="339">
        <v>1170</v>
      </c>
      <c r="F6" s="568">
        <f t="shared" si="0"/>
        <v>-35.64</v>
      </c>
      <c r="G6" s="569">
        <f t="shared" si="1"/>
        <v>115.61</v>
      </c>
    </row>
    <row r="7" s="240" customFormat="1" ht="26.25" customHeight="1" spans="1:7">
      <c r="A7" s="567" t="s">
        <v>62</v>
      </c>
      <c r="B7" s="100">
        <v>426</v>
      </c>
      <c r="C7" s="567">
        <v>530</v>
      </c>
      <c r="D7" s="567">
        <v>290</v>
      </c>
      <c r="E7" s="339">
        <v>283</v>
      </c>
      <c r="F7" s="568">
        <f t="shared" si="0"/>
        <v>-33.57</v>
      </c>
      <c r="G7" s="569">
        <f t="shared" si="1"/>
        <v>97.59</v>
      </c>
    </row>
    <row r="8" s="240" customFormat="1" ht="26.25" customHeight="1" spans="1:7">
      <c r="A8" s="567" t="s">
        <v>63</v>
      </c>
      <c r="B8" s="100">
        <v>55</v>
      </c>
      <c r="C8" s="567">
        <v>80</v>
      </c>
      <c r="D8" s="567">
        <v>43</v>
      </c>
      <c r="E8" s="339">
        <v>36</v>
      </c>
      <c r="F8" s="568">
        <f t="shared" si="0"/>
        <v>-34.55</v>
      </c>
      <c r="G8" s="569">
        <f t="shared" si="1"/>
        <v>83.72</v>
      </c>
    </row>
    <row r="9" s="240" customFormat="1" ht="26.25" customHeight="1" spans="1:7">
      <c r="A9" s="567" t="s">
        <v>64</v>
      </c>
      <c r="B9" s="100">
        <v>699</v>
      </c>
      <c r="C9" s="567">
        <v>815</v>
      </c>
      <c r="D9" s="567">
        <v>568</v>
      </c>
      <c r="E9" s="339">
        <v>581</v>
      </c>
      <c r="F9" s="568">
        <f t="shared" si="0"/>
        <v>-16.88</v>
      </c>
      <c r="G9" s="569">
        <f t="shared" si="1"/>
        <v>102.29</v>
      </c>
    </row>
    <row r="10" s="240" customFormat="1" ht="26.25" customHeight="1" spans="1:7">
      <c r="A10" s="567" t="s">
        <v>65</v>
      </c>
      <c r="B10" s="100">
        <v>1314</v>
      </c>
      <c r="C10" s="567">
        <v>1500</v>
      </c>
      <c r="D10" s="567">
        <v>770</v>
      </c>
      <c r="E10" s="339">
        <v>917</v>
      </c>
      <c r="F10" s="568">
        <f t="shared" si="0"/>
        <v>-30.21</v>
      </c>
      <c r="G10" s="569">
        <f t="shared" si="1"/>
        <v>119.09</v>
      </c>
    </row>
    <row r="11" s="240" customFormat="1" ht="26.25" customHeight="1" spans="1:7">
      <c r="A11" s="567" t="s">
        <v>66</v>
      </c>
      <c r="B11" s="100">
        <v>216</v>
      </c>
      <c r="C11" s="567">
        <v>300</v>
      </c>
      <c r="D11" s="567">
        <v>256</v>
      </c>
      <c r="E11" s="339">
        <v>230</v>
      </c>
      <c r="F11" s="568">
        <f t="shared" si="0"/>
        <v>6.48</v>
      </c>
      <c r="G11" s="569">
        <f t="shared" si="1"/>
        <v>89.84</v>
      </c>
    </row>
    <row r="12" s="240" customFormat="1" ht="26.25" customHeight="1" spans="1:7">
      <c r="A12" s="567" t="s">
        <v>67</v>
      </c>
      <c r="B12" s="100">
        <v>306</v>
      </c>
      <c r="C12" s="567">
        <v>375</v>
      </c>
      <c r="D12" s="567">
        <v>185</v>
      </c>
      <c r="E12" s="339">
        <v>311</v>
      </c>
      <c r="F12" s="568">
        <f t="shared" si="0"/>
        <v>1.63</v>
      </c>
      <c r="G12" s="569">
        <f t="shared" si="1"/>
        <v>168.11</v>
      </c>
    </row>
    <row r="13" s="240" customFormat="1" ht="26.25" customHeight="1" spans="1:7">
      <c r="A13" s="567" t="s">
        <v>68</v>
      </c>
      <c r="B13" s="100">
        <v>964</v>
      </c>
      <c r="C13" s="567">
        <v>1000</v>
      </c>
      <c r="D13" s="567">
        <v>1478</v>
      </c>
      <c r="E13" s="339">
        <v>1746</v>
      </c>
      <c r="F13" s="568">
        <f t="shared" si="0"/>
        <v>81.12</v>
      </c>
      <c r="G13" s="569">
        <f t="shared" si="1"/>
        <v>118.13</v>
      </c>
    </row>
    <row r="14" s="240" customFormat="1" ht="26.25" customHeight="1" spans="1:7">
      <c r="A14" s="567" t="s">
        <v>69</v>
      </c>
      <c r="B14" s="100">
        <v>796</v>
      </c>
      <c r="C14" s="567">
        <v>850</v>
      </c>
      <c r="D14" s="567">
        <v>563</v>
      </c>
      <c r="E14" s="339">
        <v>567</v>
      </c>
      <c r="F14" s="568">
        <f t="shared" si="0"/>
        <v>-28.77</v>
      </c>
      <c r="G14" s="569">
        <f t="shared" si="1"/>
        <v>100.71</v>
      </c>
    </row>
    <row r="15" s="240" customFormat="1" ht="26.25" customHeight="1" spans="1:7">
      <c r="A15" s="567" t="s">
        <v>70</v>
      </c>
      <c r="B15" s="100">
        <v>121</v>
      </c>
      <c r="C15" s="567">
        <v>175</v>
      </c>
      <c r="D15" s="567">
        <v>3530</v>
      </c>
      <c r="E15" s="339">
        <v>4189</v>
      </c>
      <c r="F15" s="568">
        <f t="shared" si="0"/>
        <v>3361.98</v>
      </c>
      <c r="G15" s="569">
        <f t="shared" si="1"/>
        <v>118.67</v>
      </c>
    </row>
    <row r="16" s="240" customFormat="1" ht="26.25" customHeight="1" spans="1:7">
      <c r="A16" s="567" t="s">
        <v>71</v>
      </c>
      <c r="B16" s="100">
        <v>2023</v>
      </c>
      <c r="C16" s="567">
        <v>2500</v>
      </c>
      <c r="D16" s="567">
        <v>1832</v>
      </c>
      <c r="E16" s="339">
        <v>1705</v>
      </c>
      <c r="F16" s="568">
        <f t="shared" si="0"/>
        <v>-15.72</v>
      </c>
      <c r="G16" s="569">
        <f t="shared" si="1"/>
        <v>93.07</v>
      </c>
    </row>
    <row r="17" s="240" customFormat="1" ht="26.25" customHeight="1" spans="1:7">
      <c r="A17" s="586" t="s">
        <v>72</v>
      </c>
      <c r="B17" s="100">
        <v>1</v>
      </c>
      <c r="C17" s="567">
        <v>5</v>
      </c>
      <c r="D17" s="567">
        <v>2</v>
      </c>
      <c r="E17" s="339">
        <v>2</v>
      </c>
      <c r="F17" s="568">
        <f t="shared" si="0"/>
        <v>100</v>
      </c>
      <c r="G17" s="569">
        <f t="shared" si="1"/>
        <v>100</v>
      </c>
    </row>
    <row r="18" s="240" customFormat="1" ht="26.25" customHeight="1" spans="1:7">
      <c r="A18" s="586" t="s">
        <v>73</v>
      </c>
      <c r="B18" s="100"/>
      <c r="C18" s="341"/>
      <c r="D18" s="567"/>
      <c r="E18" s="567"/>
      <c r="F18" s="568">
        <f t="shared" si="0"/>
        <v>0</v>
      </c>
      <c r="G18" s="569"/>
    </row>
    <row r="19" s="240" customFormat="1" ht="26.25" customHeight="1" spans="1:7">
      <c r="A19" s="564" t="s">
        <v>74</v>
      </c>
      <c r="B19" s="564">
        <f>SUM(B20:B25)</f>
        <v>10225</v>
      </c>
      <c r="C19" s="564">
        <f>SUM(C20:C25)</f>
        <v>6190</v>
      </c>
      <c r="D19" s="564">
        <f>SUM(D20:D25)</f>
        <v>5283</v>
      </c>
      <c r="E19" s="564">
        <f>SUM(E20:E25)</f>
        <v>6180</v>
      </c>
      <c r="F19" s="565">
        <f t="shared" si="0"/>
        <v>-39.56</v>
      </c>
      <c r="G19" s="566">
        <f t="shared" ref="G19:G26" si="2">E19/D19*100</f>
        <v>116.98</v>
      </c>
    </row>
    <row r="20" s="240" customFormat="1" ht="26.25" customHeight="1" spans="1:7">
      <c r="A20" s="567" t="s">
        <v>75</v>
      </c>
      <c r="B20" s="100">
        <v>992</v>
      </c>
      <c r="C20" s="341">
        <v>1250</v>
      </c>
      <c r="D20" s="567">
        <v>706</v>
      </c>
      <c r="E20" s="339">
        <v>795</v>
      </c>
      <c r="F20" s="568">
        <f t="shared" si="0"/>
        <v>-19.86</v>
      </c>
      <c r="G20" s="569">
        <f t="shared" si="2"/>
        <v>112.61</v>
      </c>
    </row>
    <row r="21" s="240" customFormat="1" ht="26.25" customHeight="1" spans="1:7">
      <c r="A21" s="567" t="s">
        <v>76</v>
      </c>
      <c r="B21" s="100">
        <v>2209</v>
      </c>
      <c r="C21" s="341">
        <v>2150</v>
      </c>
      <c r="D21" s="567">
        <v>1696</v>
      </c>
      <c r="E21" s="339">
        <v>1722</v>
      </c>
      <c r="F21" s="568">
        <f t="shared" si="0"/>
        <v>-22.05</v>
      </c>
      <c r="G21" s="569">
        <f t="shared" si="2"/>
        <v>101.53</v>
      </c>
    </row>
    <row r="22" s="240" customFormat="1" ht="26.25" customHeight="1" spans="1:7">
      <c r="A22" s="567" t="s">
        <v>77</v>
      </c>
      <c r="B22" s="100">
        <v>1487</v>
      </c>
      <c r="C22" s="341">
        <v>1500</v>
      </c>
      <c r="D22" s="567">
        <v>2287</v>
      </c>
      <c r="E22" s="339">
        <v>2865</v>
      </c>
      <c r="F22" s="568">
        <f t="shared" si="0"/>
        <v>92.67</v>
      </c>
      <c r="G22" s="569">
        <f t="shared" si="2"/>
        <v>125.27</v>
      </c>
    </row>
    <row r="23" s="240" customFormat="1" ht="26.25" customHeight="1" spans="1:7">
      <c r="A23" s="567" t="s">
        <v>78</v>
      </c>
      <c r="B23" s="100">
        <v>5351</v>
      </c>
      <c r="C23" s="341">
        <v>1150</v>
      </c>
      <c r="D23" s="567">
        <v>470</v>
      </c>
      <c r="E23" s="339">
        <v>673</v>
      </c>
      <c r="F23" s="568">
        <f t="shared" si="0"/>
        <v>-87.42</v>
      </c>
      <c r="G23" s="569">
        <f t="shared" si="2"/>
        <v>143.19</v>
      </c>
    </row>
    <row r="24" s="240" customFormat="1" ht="26.25" customHeight="1" spans="1:7">
      <c r="A24" s="567" t="s">
        <v>79</v>
      </c>
      <c r="B24" s="100">
        <v>182</v>
      </c>
      <c r="C24" s="341">
        <v>140</v>
      </c>
      <c r="D24" s="567">
        <v>123</v>
      </c>
      <c r="E24" s="339">
        <v>123</v>
      </c>
      <c r="F24" s="568">
        <f t="shared" si="0"/>
        <v>-32.42</v>
      </c>
      <c r="G24" s="569">
        <f t="shared" si="2"/>
        <v>100</v>
      </c>
    </row>
    <row r="25" s="240" customFormat="1" ht="26.25" customHeight="1" spans="1:7">
      <c r="A25" s="567" t="s">
        <v>80</v>
      </c>
      <c r="B25" s="100">
        <v>4</v>
      </c>
      <c r="C25" s="341"/>
      <c r="D25" s="567">
        <v>1</v>
      </c>
      <c r="E25" s="339">
        <v>2</v>
      </c>
      <c r="F25" s="568">
        <f t="shared" si="0"/>
        <v>-50</v>
      </c>
      <c r="G25" s="571">
        <f t="shared" si="2"/>
        <v>200</v>
      </c>
    </row>
    <row r="26" s="240" customFormat="1" ht="26.25" customHeight="1" spans="1:7">
      <c r="A26" s="572" t="s">
        <v>81</v>
      </c>
      <c r="B26" s="564">
        <f>SUM(B19+B4)</f>
        <v>23610</v>
      </c>
      <c r="C26" s="564">
        <f>SUM(C19+C4)</f>
        <v>24320</v>
      </c>
      <c r="D26" s="564">
        <f>SUM(D19+D4)</f>
        <v>19795</v>
      </c>
      <c r="E26" s="564">
        <f>SUM(E19+E4)</f>
        <v>21946</v>
      </c>
      <c r="F26" s="565">
        <f t="shared" si="0"/>
        <v>-7.05</v>
      </c>
      <c r="G26" s="566">
        <f t="shared" si="2"/>
        <v>110.87</v>
      </c>
    </row>
    <row r="27" s="240" customFormat="1" ht="17.25" customHeight="1" spans="1:6">
      <c r="A27" s="573"/>
      <c r="B27" s="574"/>
      <c r="C27" s="574"/>
      <c r="D27" s="574"/>
      <c r="E27" s="574"/>
      <c r="F27" s="574"/>
    </row>
  </sheetData>
  <mergeCells count="3">
    <mergeCell ref="A1:G1"/>
    <mergeCell ref="F2:G2"/>
    <mergeCell ref="A27:F27"/>
  </mergeCells>
  <pageMargins left="0.708661417322835" right="0.708661417322835" top="0.748031496062992" bottom="0.748031496062992" header="0.31496062992126" footer="0.31496062992126"/>
  <pageSetup paperSize="9" scale="82" fitToHeight="6" orientation="portrait" blackAndWhite="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29"/>
  <sheetViews>
    <sheetView showZeros="0" zoomScaleSheetLayoutView="60" workbookViewId="0">
      <pane xSplit="2" ySplit="4" topLeftCell="C5" activePane="bottomRight" state="frozen"/>
      <selection/>
      <selection pane="topRight"/>
      <selection pane="bottomLeft"/>
      <selection pane="bottomRight" activeCell="F10" sqref="F10"/>
    </sheetView>
  </sheetViews>
  <sheetFormatPr defaultColWidth="9" defaultRowHeight="21" customHeight="1"/>
  <cols>
    <col min="1" max="1" width="9" style="125"/>
    <col min="2" max="2" width="36.375" style="125" customWidth="1"/>
    <col min="3" max="3" width="12.25" style="125" customWidth="1"/>
    <col min="4" max="5" width="10.875" style="125" customWidth="1"/>
    <col min="6" max="6" width="11.875" style="125" customWidth="1"/>
    <col min="7" max="7" width="10.125" style="125" customWidth="1"/>
    <col min="8" max="8" width="11.5" style="125" customWidth="1"/>
    <col min="9" max="9" width="11.625" style="125" customWidth="1"/>
    <col min="10" max="10" width="12.25" style="125" customWidth="1"/>
    <col min="11" max="11" width="9" style="147" hidden="1" customWidth="1"/>
    <col min="12" max="14" width="9" style="57" hidden="1" customWidth="1"/>
    <col min="15" max="15" width="9" style="149" hidden="1" customWidth="1"/>
    <col min="16" max="16" width="9" style="125" hidden="1" customWidth="1"/>
    <col min="17" max="17" width="11.875" style="125" hidden="1" customWidth="1"/>
    <col min="18" max="18" width="9" style="150" customWidth="1"/>
    <col min="19" max="22" width="9" style="125" customWidth="1"/>
    <col min="23" max="16384" width="9" style="125"/>
  </cols>
  <sheetData>
    <row r="1" s="125" customFormat="1" customHeight="1" spans="1:18">
      <c r="A1" s="599" t="s">
        <v>4148</v>
      </c>
      <c r="B1" s="105"/>
      <c r="C1" s="105"/>
      <c r="D1" s="105"/>
      <c r="E1" s="105"/>
      <c r="F1" s="105"/>
      <c r="G1" s="105"/>
      <c r="H1" s="105"/>
      <c r="I1" s="105"/>
      <c r="J1" s="105"/>
      <c r="K1" s="147"/>
      <c r="L1" s="57"/>
      <c r="M1" s="57"/>
      <c r="N1" s="57"/>
      <c r="O1" s="149"/>
      <c r="R1" s="150"/>
    </row>
    <row r="2" s="125" customFormat="1" customHeight="1" spans="2:18">
      <c r="B2" s="129"/>
      <c r="J2" s="165" t="s">
        <v>51</v>
      </c>
      <c r="K2" s="147"/>
      <c r="L2" s="57"/>
      <c r="M2" s="57"/>
      <c r="N2" s="57"/>
      <c r="O2" s="149"/>
      <c r="R2" s="150"/>
    </row>
    <row r="3" s="93" customFormat="1" customHeight="1" spans="1:18">
      <c r="A3" s="151" t="s">
        <v>435</v>
      </c>
      <c r="B3" s="39" t="s">
        <v>52</v>
      </c>
      <c r="C3" s="39" t="s">
        <v>959</v>
      </c>
      <c r="D3" s="642" t="s">
        <v>4149</v>
      </c>
      <c r="E3" s="135" t="s">
        <v>4150</v>
      </c>
      <c r="F3" s="109" t="s">
        <v>4151</v>
      </c>
      <c r="G3" s="152" t="s">
        <v>452</v>
      </c>
      <c r="H3" s="642" t="s">
        <v>451</v>
      </c>
      <c r="I3" s="39" t="s">
        <v>965</v>
      </c>
      <c r="J3" s="643" t="s">
        <v>4152</v>
      </c>
      <c r="K3" s="167"/>
      <c r="L3" s="168"/>
      <c r="M3" s="168"/>
      <c r="N3" s="168"/>
      <c r="O3" s="169"/>
      <c r="P3" s="170"/>
      <c r="Q3" s="643" t="s">
        <v>4153</v>
      </c>
      <c r="R3" s="170"/>
    </row>
    <row r="4" s="93" customFormat="1" customHeight="1" spans="1:18">
      <c r="A4" s="153"/>
      <c r="B4" s="39"/>
      <c r="C4" s="39"/>
      <c r="D4" s="116"/>
      <c r="E4" s="39"/>
      <c r="F4" s="116"/>
      <c r="G4" s="152"/>
      <c r="H4" s="116"/>
      <c r="I4" s="39"/>
      <c r="J4" s="39"/>
      <c r="K4" s="171"/>
      <c r="L4" s="172" t="s">
        <v>435</v>
      </c>
      <c r="M4" s="172" t="s">
        <v>1081</v>
      </c>
      <c r="N4" s="172" t="s">
        <v>1082</v>
      </c>
      <c r="O4" s="164" t="s">
        <v>436</v>
      </c>
      <c r="P4" s="170"/>
      <c r="Q4" s="135"/>
      <c r="R4" s="170"/>
    </row>
    <row r="5" s="93" customFormat="1" customHeight="1" spans="1:18">
      <c r="A5" s="154" t="s">
        <v>455</v>
      </c>
      <c r="B5" s="155" t="s">
        <v>4154</v>
      </c>
      <c r="C5" s="156">
        <f t="shared" ref="C5:J5" si="0">SUM(C6:C34)</f>
        <v>23179</v>
      </c>
      <c r="D5" s="156">
        <f t="shared" si="0"/>
        <v>19491</v>
      </c>
      <c r="E5" s="156">
        <f t="shared" si="0"/>
        <v>55</v>
      </c>
      <c r="F5" s="156">
        <f t="shared" si="0"/>
        <v>1174</v>
      </c>
      <c r="G5" s="156">
        <f t="shared" si="0"/>
        <v>2252</v>
      </c>
      <c r="H5" s="156">
        <f t="shared" si="0"/>
        <v>0</v>
      </c>
      <c r="I5" s="156">
        <f t="shared" si="0"/>
        <v>0</v>
      </c>
      <c r="J5" s="156">
        <f t="shared" si="0"/>
        <v>207</v>
      </c>
      <c r="K5" s="173" t="s">
        <v>1081</v>
      </c>
      <c r="L5" s="174">
        <v>201</v>
      </c>
      <c r="M5" s="174">
        <v>201</v>
      </c>
      <c r="N5" s="174">
        <f t="shared" ref="N5:R5" si="1">SUM(N6:N34)</f>
        <v>0</v>
      </c>
      <c r="O5" s="175" t="s">
        <v>1083</v>
      </c>
      <c r="P5" s="176">
        <f t="shared" si="1"/>
        <v>0</v>
      </c>
      <c r="Q5" s="156">
        <f t="shared" si="1"/>
        <v>0</v>
      </c>
      <c r="R5" s="178">
        <f t="shared" si="1"/>
        <v>0</v>
      </c>
    </row>
    <row r="6" s="92" customFormat="1" customHeight="1" spans="1:18">
      <c r="A6" s="157" t="s">
        <v>456</v>
      </c>
      <c r="B6" s="158" t="s">
        <v>222</v>
      </c>
      <c r="C6" s="159">
        <f t="shared" ref="C6:C34" si="2">SUM(D6:J6)</f>
        <v>891</v>
      </c>
      <c r="D6" s="159">
        <v>815</v>
      </c>
      <c r="E6" s="159"/>
      <c r="F6" s="159">
        <v>76</v>
      </c>
      <c r="G6" s="159"/>
      <c r="H6" s="159"/>
      <c r="I6" s="159"/>
      <c r="J6" s="159"/>
      <c r="K6" s="171" t="s">
        <v>1082</v>
      </c>
      <c r="L6" s="172" t="s">
        <v>456</v>
      </c>
      <c r="M6" s="172" t="s">
        <v>455</v>
      </c>
      <c r="N6" s="172" t="s">
        <v>456</v>
      </c>
      <c r="O6" s="164" t="s">
        <v>1084</v>
      </c>
      <c r="P6" s="177"/>
      <c r="Q6" s="36"/>
      <c r="R6" s="177"/>
    </row>
    <row r="7" s="92" customFormat="1" customHeight="1" spans="1:18">
      <c r="A7" s="157" t="s">
        <v>457</v>
      </c>
      <c r="B7" s="158" t="s">
        <v>223</v>
      </c>
      <c r="C7" s="159">
        <f t="shared" si="2"/>
        <v>303</v>
      </c>
      <c r="D7" s="159">
        <v>291</v>
      </c>
      <c r="E7" s="159"/>
      <c r="F7" s="159">
        <v>12</v>
      </c>
      <c r="G7" s="159"/>
      <c r="H7" s="159"/>
      <c r="I7" s="159"/>
      <c r="J7" s="159"/>
      <c r="K7" s="171" t="s">
        <v>1082</v>
      </c>
      <c r="L7" s="172" t="s">
        <v>457</v>
      </c>
      <c r="M7" s="172" t="s">
        <v>455</v>
      </c>
      <c r="N7" s="172" t="s">
        <v>457</v>
      </c>
      <c r="O7" s="164" t="s">
        <v>1120</v>
      </c>
      <c r="P7" s="177"/>
      <c r="Q7" s="36"/>
      <c r="R7" s="177"/>
    </row>
    <row r="8" s="92" customFormat="1" customHeight="1" spans="1:18">
      <c r="A8" s="157" t="s">
        <v>458</v>
      </c>
      <c r="B8" s="158" t="s">
        <v>4155</v>
      </c>
      <c r="C8" s="159">
        <f t="shared" si="2"/>
        <v>10041</v>
      </c>
      <c r="D8" s="159">
        <v>10041</v>
      </c>
      <c r="E8" s="159"/>
      <c r="F8" s="159"/>
      <c r="G8" s="159"/>
      <c r="H8" s="159"/>
      <c r="I8" s="159"/>
      <c r="J8" s="159"/>
      <c r="K8" s="171" t="s">
        <v>1082</v>
      </c>
      <c r="L8" s="172" t="s">
        <v>458</v>
      </c>
      <c r="M8" s="172" t="s">
        <v>455</v>
      </c>
      <c r="N8" s="172" t="s">
        <v>458</v>
      </c>
      <c r="O8" s="164" t="s">
        <v>1137</v>
      </c>
      <c r="P8" s="177"/>
      <c r="Q8" s="36"/>
      <c r="R8" s="177"/>
    </row>
    <row r="9" s="92" customFormat="1" customHeight="1" spans="1:18">
      <c r="A9" s="157" t="s">
        <v>459</v>
      </c>
      <c r="B9" s="158" t="s">
        <v>225</v>
      </c>
      <c r="C9" s="159">
        <f t="shared" si="2"/>
        <v>400</v>
      </c>
      <c r="D9" s="159">
        <v>375</v>
      </c>
      <c r="E9" s="159"/>
      <c r="F9" s="159"/>
      <c r="G9" s="159"/>
      <c r="H9" s="159"/>
      <c r="I9" s="159"/>
      <c r="J9" s="159">
        <v>25</v>
      </c>
      <c r="K9" s="171" t="s">
        <v>1082</v>
      </c>
      <c r="L9" s="172" t="s">
        <v>459</v>
      </c>
      <c r="M9" s="172" t="s">
        <v>455</v>
      </c>
      <c r="N9" s="172" t="s">
        <v>459</v>
      </c>
      <c r="O9" s="164" t="s">
        <v>1157</v>
      </c>
      <c r="P9" s="177"/>
      <c r="Q9" s="36"/>
      <c r="R9" s="177"/>
    </row>
    <row r="10" s="92" customFormat="1" customHeight="1" spans="1:18">
      <c r="A10" s="157" t="s">
        <v>460</v>
      </c>
      <c r="B10" s="160" t="s">
        <v>226</v>
      </c>
      <c r="C10" s="159">
        <f t="shared" si="2"/>
        <v>344</v>
      </c>
      <c r="D10" s="159">
        <v>333</v>
      </c>
      <c r="E10" s="159"/>
      <c r="F10" s="159">
        <v>11</v>
      </c>
      <c r="G10" s="159"/>
      <c r="H10" s="159"/>
      <c r="I10" s="159"/>
      <c r="J10" s="159"/>
      <c r="K10" s="171" t="s">
        <v>1082</v>
      </c>
      <c r="L10" s="172" t="s">
        <v>460</v>
      </c>
      <c r="M10" s="172" t="s">
        <v>455</v>
      </c>
      <c r="N10" s="172" t="s">
        <v>460</v>
      </c>
      <c r="O10" s="164" t="s">
        <v>1180</v>
      </c>
      <c r="P10" s="177"/>
      <c r="Q10" s="36"/>
      <c r="R10" s="177"/>
    </row>
    <row r="11" s="92" customFormat="1" customHeight="1" spans="1:18">
      <c r="A11" s="157" t="s">
        <v>461</v>
      </c>
      <c r="B11" s="158" t="s">
        <v>227</v>
      </c>
      <c r="C11" s="159">
        <f t="shared" si="2"/>
        <v>858</v>
      </c>
      <c r="D11" s="159">
        <v>834</v>
      </c>
      <c r="E11" s="159"/>
      <c r="F11" s="159">
        <v>24</v>
      </c>
      <c r="G11" s="159"/>
      <c r="H11" s="159"/>
      <c r="I11" s="159"/>
      <c r="J11" s="159"/>
      <c r="K11" s="171" t="s">
        <v>1082</v>
      </c>
      <c r="L11" s="172" t="s">
        <v>461</v>
      </c>
      <c r="M11" s="172" t="s">
        <v>455</v>
      </c>
      <c r="N11" s="172" t="s">
        <v>461</v>
      </c>
      <c r="O11" s="164" t="s">
        <v>1203</v>
      </c>
      <c r="P11" s="177"/>
      <c r="Q11" s="36"/>
      <c r="R11" s="177"/>
    </row>
    <row r="12" s="92" customFormat="1" customHeight="1" spans="1:18">
      <c r="A12" s="157" t="s">
        <v>462</v>
      </c>
      <c r="B12" s="158" t="s">
        <v>228</v>
      </c>
      <c r="C12" s="159">
        <f t="shared" si="2"/>
        <v>417</v>
      </c>
      <c r="D12" s="159">
        <v>417</v>
      </c>
      <c r="E12" s="159"/>
      <c r="F12" s="159"/>
      <c r="G12" s="159"/>
      <c r="H12" s="159"/>
      <c r="I12" s="159"/>
      <c r="J12" s="159"/>
      <c r="K12" s="171" t="s">
        <v>1082</v>
      </c>
      <c r="L12" s="172" t="s">
        <v>462</v>
      </c>
      <c r="M12" s="172" t="s">
        <v>455</v>
      </c>
      <c r="N12" s="172" t="s">
        <v>462</v>
      </c>
      <c r="O12" s="164" t="s">
        <v>1226</v>
      </c>
      <c r="P12" s="177"/>
      <c r="Q12" s="36"/>
      <c r="R12" s="177"/>
    </row>
    <row r="13" s="92" customFormat="1" customHeight="1" spans="1:18">
      <c r="A13" s="157" t="s">
        <v>463</v>
      </c>
      <c r="B13" s="160" t="s">
        <v>229</v>
      </c>
      <c r="C13" s="159">
        <f t="shared" si="2"/>
        <v>215</v>
      </c>
      <c r="D13" s="159">
        <v>213</v>
      </c>
      <c r="E13" s="159"/>
      <c r="F13" s="159">
        <v>2</v>
      </c>
      <c r="G13" s="159"/>
      <c r="H13" s="159"/>
      <c r="I13" s="159"/>
      <c r="J13" s="159"/>
      <c r="K13" s="171" t="s">
        <v>1082</v>
      </c>
      <c r="L13" s="172" t="s">
        <v>463</v>
      </c>
      <c r="M13" s="172" t="s">
        <v>455</v>
      </c>
      <c r="N13" s="172" t="s">
        <v>463</v>
      </c>
      <c r="O13" s="164" t="s">
        <v>1238</v>
      </c>
      <c r="P13" s="177"/>
      <c r="Q13" s="36"/>
      <c r="R13" s="177"/>
    </row>
    <row r="14" s="92" customFormat="1" customHeight="1" spans="1:18">
      <c r="A14" s="157" t="s">
        <v>464</v>
      </c>
      <c r="B14" s="158" t="s">
        <v>230</v>
      </c>
      <c r="C14" s="159">
        <f t="shared" si="2"/>
        <v>0</v>
      </c>
      <c r="D14" s="159"/>
      <c r="E14" s="159"/>
      <c r="F14" s="159"/>
      <c r="G14" s="159"/>
      <c r="H14" s="159"/>
      <c r="I14" s="159"/>
      <c r="J14" s="159"/>
      <c r="K14" s="171" t="s">
        <v>1082</v>
      </c>
      <c r="L14" s="172" t="s">
        <v>464</v>
      </c>
      <c r="M14" s="172" t="s">
        <v>455</v>
      </c>
      <c r="N14" s="172" t="s">
        <v>464</v>
      </c>
      <c r="O14" s="164" t="s">
        <v>1253</v>
      </c>
      <c r="P14" s="177"/>
      <c r="Q14" s="36"/>
      <c r="R14" s="177"/>
    </row>
    <row r="15" s="92" customFormat="1" customHeight="1" spans="1:18">
      <c r="A15" s="157" t="s">
        <v>466</v>
      </c>
      <c r="B15" s="161" t="s">
        <v>232</v>
      </c>
      <c r="C15" s="159">
        <f t="shared" si="2"/>
        <v>1505</v>
      </c>
      <c r="D15" s="159">
        <v>1496</v>
      </c>
      <c r="E15" s="159"/>
      <c r="F15" s="159">
        <v>9</v>
      </c>
      <c r="G15" s="159"/>
      <c r="H15" s="159"/>
      <c r="I15" s="159"/>
      <c r="J15" s="159"/>
      <c r="K15" s="171" t="s">
        <v>1082</v>
      </c>
      <c r="L15" s="172" t="s">
        <v>466</v>
      </c>
      <c r="M15" s="172" t="s">
        <v>455</v>
      </c>
      <c r="N15" s="172" t="s">
        <v>466</v>
      </c>
      <c r="O15" s="164" t="s">
        <v>1280</v>
      </c>
      <c r="P15" s="177"/>
      <c r="Q15" s="36"/>
      <c r="R15" s="177"/>
    </row>
    <row r="16" s="92" customFormat="1" customHeight="1" spans="1:18">
      <c r="A16" s="157" t="s">
        <v>467</v>
      </c>
      <c r="B16" s="161" t="s">
        <v>233</v>
      </c>
      <c r="C16" s="159">
        <f t="shared" si="2"/>
        <v>127</v>
      </c>
      <c r="D16" s="159">
        <v>127</v>
      </c>
      <c r="E16" s="159"/>
      <c r="F16" s="159"/>
      <c r="G16" s="159"/>
      <c r="H16" s="159"/>
      <c r="I16" s="159"/>
      <c r="J16" s="159"/>
      <c r="K16" s="171" t="s">
        <v>1082</v>
      </c>
      <c r="L16" s="172" t="s">
        <v>467</v>
      </c>
      <c r="M16" s="172" t="s">
        <v>455</v>
      </c>
      <c r="N16" s="172" t="s">
        <v>467</v>
      </c>
      <c r="O16" s="164" t="s">
        <v>1297</v>
      </c>
      <c r="P16" s="177"/>
      <c r="Q16" s="36"/>
      <c r="R16" s="177"/>
    </row>
    <row r="17" s="92" customFormat="1" customHeight="1" spans="1:18">
      <c r="A17" s="157" t="s">
        <v>468</v>
      </c>
      <c r="B17" s="160" t="s">
        <v>234</v>
      </c>
      <c r="C17" s="159">
        <f t="shared" si="2"/>
        <v>0</v>
      </c>
      <c r="D17" s="159"/>
      <c r="E17" s="159"/>
      <c r="F17" s="159"/>
      <c r="G17" s="159"/>
      <c r="H17" s="159"/>
      <c r="I17" s="159"/>
      <c r="J17" s="159"/>
      <c r="K17" s="171" t="s">
        <v>1082</v>
      </c>
      <c r="L17" s="172" t="s">
        <v>468</v>
      </c>
      <c r="M17" s="172" t="s">
        <v>455</v>
      </c>
      <c r="N17" s="172" t="s">
        <v>468</v>
      </c>
      <c r="O17" s="164" t="s">
        <v>1320</v>
      </c>
      <c r="P17" s="177"/>
      <c r="Q17" s="36"/>
      <c r="R17" s="177"/>
    </row>
    <row r="18" s="92" customFormat="1" customHeight="1" spans="1:18">
      <c r="A18" s="157" t="s">
        <v>469</v>
      </c>
      <c r="B18" s="158" t="s">
        <v>235</v>
      </c>
      <c r="C18" s="159">
        <f t="shared" si="2"/>
        <v>101</v>
      </c>
      <c r="D18" s="159">
        <v>31</v>
      </c>
      <c r="E18" s="159"/>
      <c r="F18" s="159">
        <v>40</v>
      </c>
      <c r="G18" s="159"/>
      <c r="H18" s="159"/>
      <c r="I18" s="159"/>
      <c r="J18" s="159">
        <v>30</v>
      </c>
      <c r="K18" s="171" t="s">
        <v>1082</v>
      </c>
      <c r="L18" s="172" t="s">
        <v>469</v>
      </c>
      <c r="M18" s="172" t="s">
        <v>455</v>
      </c>
      <c r="N18" s="172" t="s">
        <v>469</v>
      </c>
      <c r="O18" s="164" t="s">
        <v>1346</v>
      </c>
      <c r="P18" s="177"/>
      <c r="Q18" s="36"/>
      <c r="R18" s="177"/>
    </row>
    <row r="19" s="92" customFormat="1" customHeight="1" spans="1:18">
      <c r="A19" s="157" t="s">
        <v>470</v>
      </c>
      <c r="B19" s="158" t="s">
        <v>236</v>
      </c>
      <c r="C19" s="159">
        <f t="shared" si="2"/>
        <v>0</v>
      </c>
      <c r="D19" s="159"/>
      <c r="E19" s="159"/>
      <c r="F19" s="159"/>
      <c r="G19" s="159"/>
      <c r="H19" s="159"/>
      <c r="I19" s="159"/>
      <c r="J19" s="159"/>
      <c r="K19" s="171" t="s">
        <v>1082</v>
      </c>
      <c r="L19" s="172" t="s">
        <v>470</v>
      </c>
      <c r="M19" s="172" t="s">
        <v>455</v>
      </c>
      <c r="N19" s="172" t="s">
        <v>470</v>
      </c>
      <c r="O19" s="164" t="s">
        <v>1357</v>
      </c>
      <c r="P19" s="177"/>
      <c r="Q19" s="36"/>
      <c r="R19" s="177"/>
    </row>
    <row r="20" s="92" customFormat="1" customHeight="1" spans="1:18">
      <c r="A20" s="157" t="s">
        <v>471</v>
      </c>
      <c r="B20" s="160" t="s">
        <v>237</v>
      </c>
      <c r="C20" s="159">
        <f t="shared" si="2"/>
        <v>93</v>
      </c>
      <c r="D20" s="159">
        <v>93</v>
      </c>
      <c r="E20" s="159"/>
      <c r="F20" s="159"/>
      <c r="G20" s="159"/>
      <c r="H20" s="159"/>
      <c r="I20" s="159"/>
      <c r="J20" s="159"/>
      <c r="K20" s="171" t="s">
        <v>1082</v>
      </c>
      <c r="L20" s="172" t="s">
        <v>471</v>
      </c>
      <c r="M20" s="172" t="s">
        <v>455</v>
      </c>
      <c r="N20" s="172" t="s">
        <v>471</v>
      </c>
      <c r="O20" s="164" t="s">
        <v>1371</v>
      </c>
      <c r="P20" s="177"/>
      <c r="Q20" s="36"/>
      <c r="R20" s="177"/>
    </row>
    <row r="21" s="92" customFormat="1" customHeight="1" spans="1:18">
      <c r="A21" s="157" t="s">
        <v>472</v>
      </c>
      <c r="B21" s="160" t="s">
        <v>238</v>
      </c>
      <c r="C21" s="159">
        <f t="shared" si="2"/>
        <v>42</v>
      </c>
      <c r="D21" s="159">
        <v>42</v>
      </c>
      <c r="E21" s="159"/>
      <c r="F21" s="159"/>
      <c r="G21" s="159"/>
      <c r="H21" s="159"/>
      <c r="I21" s="159"/>
      <c r="J21" s="159"/>
      <c r="K21" s="171" t="s">
        <v>1082</v>
      </c>
      <c r="L21" s="172" t="s">
        <v>472</v>
      </c>
      <c r="M21" s="172" t="s">
        <v>455</v>
      </c>
      <c r="N21" s="172" t="s">
        <v>472</v>
      </c>
      <c r="O21" s="164" t="s">
        <v>1381</v>
      </c>
      <c r="P21" s="177"/>
      <c r="Q21" s="36"/>
      <c r="R21" s="177"/>
    </row>
    <row r="22" s="92" customFormat="1" customHeight="1" spans="1:18">
      <c r="A22" s="157" t="s">
        <v>473</v>
      </c>
      <c r="B22" s="160" t="s">
        <v>239</v>
      </c>
      <c r="C22" s="159">
        <f t="shared" si="2"/>
        <v>653</v>
      </c>
      <c r="D22" s="159">
        <v>316</v>
      </c>
      <c r="E22" s="159">
        <v>3</v>
      </c>
      <c r="F22" s="159">
        <v>226</v>
      </c>
      <c r="G22" s="159"/>
      <c r="H22" s="159"/>
      <c r="I22" s="159"/>
      <c r="J22" s="159">
        <v>108</v>
      </c>
      <c r="K22" s="171" t="s">
        <v>1082</v>
      </c>
      <c r="L22" s="172" t="s">
        <v>473</v>
      </c>
      <c r="M22" s="172" t="s">
        <v>455</v>
      </c>
      <c r="N22" s="172" t="s">
        <v>473</v>
      </c>
      <c r="O22" s="164" t="s">
        <v>1390</v>
      </c>
      <c r="P22" s="177"/>
      <c r="Q22" s="36"/>
      <c r="R22" s="177"/>
    </row>
    <row r="23" s="92" customFormat="1" customHeight="1" spans="1:18">
      <c r="A23" s="157" t="s">
        <v>474</v>
      </c>
      <c r="B23" s="160" t="s">
        <v>240</v>
      </c>
      <c r="C23" s="159">
        <f t="shared" si="2"/>
        <v>419</v>
      </c>
      <c r="D23" s="159">
        <v>362</v>
      </c>
      <c r="E23" s="159"/>
      <c r="F23" s="159">
        <v>57</v>
      </c>
      <c r="G23" s="159"/>
      <c r="H23" s="159"/>
      <c r="I23" s="159"/>
      <c r="J23" s="159"/>
      <c r="K23" s="171" t="s">
        <v>1082</v>
      </c>
      <c r="L23" s="172" t="s">
        <v>474</v>
      </c>
      <c r="M23" s="172" t="s">
        <v>455</v>
      </c>
      <c r="N23" s="172" t="s">
        <v>474</v>
      </c>
      <c r="O23" s="164" t="s">
        <v>1401</v>
      </c>
      <c r="P23" s="177"/>
      <c r="Q23" s="36"/>
      <c r="R23" s="177"/>
    </row>
    <row r="24" s="92" customFormat="1" customHeight="1" spans="1:18">
      <c r="A24" s="157" t="s">
        <v>475</v>
      </c>
      <c r="B24" s="160" t="s">
        <v>241</v>
      </c>
      <c r="C24" s="159">
        <f t="shared" si="2"/>
        <v>1955</v>
      </c>
      <c r="D24" s="159">
        <v>1252</v>
      </c>
      <c r="E24" s="159">
        <v>47</v>
      </c>
      <c r="F24" s="159">
        <v>656</v>
      </c>
      <c r="G24" s="159"/>
      <c r="H24" s="159"/>
      <c r="I24" s="159"/>
      <c r="J24" s="159"/>
      <c r="K24" s="171" t="s">
        <v>1082</v>
      </c>
      <c r="L24" s="172" t="s">
        <v>475</v>
      </c>
      <c r="M24" s="172" t="s">
        <v>455</v>
      </c>
      <c r="N24" s="172" t="s">
        <v>475</v>
      </c>
      <c r="O24" s="164" t="s">
        <v>1412</v>
      </c>
      <c r="P24" s="177"/>
      <c r="Q24" s="36"/>
      <c r="R24" s="177"/>
    </row>
    <row r="25" s="92" customFormat="1" customHeight="1" spans="1:18">
      <c r="A25" s="157" t="s">
        <v>476</v>
      </c>
      <c r="B25" s="160" t="s">
        <v>242</v>
      </c>
      <c r="C25" s="159">
        <f t="shared" si="2"/>
        <v>156</v>
      </c>
      <c r="D25" s="159">
        <v>156</v>
      </c>
      <c r="E25" s="159"/>
      <c r="F25" s="159"/>
      <c r="G25" s="159"/>
      <c r="H25" s="159"/>
      <c r="I25" s="159"/>
      <c r="J25" s="159"/>
      <c r="K25" s="171" t="s">
        <v>1082</v>
      </c>
      <c r="L25" s="172" t="s">
        <v>476</v>
      </c>
      <c r="M25" s="172" t="s">
        <v>455</v>
      </c>
      <c r="N25" s="172" t="s">
        <v>476</v>
      </c>
      <c r="O25" s="164" t="s">
        <v>1423</v>
      </c>
      <c r="P25" s="177"/>
      <c r="Q25" s="36"/>
      <c r="R25" s="177"/>
    </row>
    <row r="26" s="92" customFormat="1" customHeight="1" spans="1:18">
      <c r="A26" s="157" t="s">
        <v>477</v>
      </c>
      <c r="B26" s="160" t="s">
        <v>243</v>
      </c>
      <c r="C26" s="159">
        <f t="shared" si="2"/>
        <v>251</v>
      </c>
      <c r="D26" s="159">
        <v>245</v>
      </c>
      <c r="E26" s="159"/>
      <c r="F26" s="159">
        <v>6</v>
      </c>
      <c r="G26" s="159"/>
      <c r="H26" s="159"/>
      <c r="I26" s="159"/>
      <c r="J26" s="159"/>
      <c r="K26" s="171" t="s">
        <v>1082</v>
      </c>
      <c r="L26" s="172" t="s">
        <v>477</v>
      </c>
      <c r="M26" s="172" t="s">
        <v>455</v>
      </c>
      <c r="N26" s="172" t="s">
        <v>477</v>
      </c>
      <c r="O26" s="164" t="s">
        <v>1434</v>
      </c>
      <c r="P26" s="177"/>
      <c r="Q26" s="36"/>
      <c r="R26" s="177"/>
    </row>
    <row r="27" s="92" customFormat="1" customHeight="1" spans="1:18">
      <c r="A27" s="157" t="s">
        <v>478</v>
      </c>
      <c r="B27" s="160" t="s">
        <v>244</v>
      </c>
      <c r="C27" s="159">
        <f t="shared" si="2"/>
        <v>0</v>
      </c>
      <c r="D27" s="159"/>
      <c r="E27" s="159"/>
      <c r="F27" s="159"/>
      <c r="G27" s="159"/>
      <c r="H27" s="159"/>
      <c r="I27" s="159"/>
      <c r="J27" s="159"/>
      <c r="K27" s="171" t="s">
        <v>1082</v>
      </c>
      <c r="L27" s="172" t="s">
        <v>478</v>
      </c>
      <c r="M27" s="172" t="s">
        <v>455</v>
      </c>
      <c r="N27" s="172" t="s">
        <v>478</v>
      </c>
      <c r="O27" s="164" t="s">
        <v>1448</v>
      </c>
      <c r="P27" s="177"/>
      <c r="Q27" s="36"/>
      <c r="R27" s="177"/>
    </row>
    <row r="28" s="92" customFormat="1" customHeight="1" spans="1:18">
      <c r="A28" s="157" t="s">
        <v>479</v>
      </c>
      <c r="B28" s="160" t="s">
        <v>245</v>
      </c>
      <c r="C28" s="159">
        <f t="shared" si="2"/>
        <v>447</v>
      </c>
      <c r="D28" s="159">
        <v>447</v>
      </c>
      <c r="E28" s="159"/>
      <c r="F28" s="159"/>
      <c r="G28" s="159"/>
      <c r="H28" s="159"/>
      <c r="I28" s="159"/>
      <c r="J28" s="159"/>
      <c r="K28" s="171" t="s">
        <v>1082</v>
      </c>
      <c r="L28" s="172" t="s">
        <v>479</v>
      </c>
      <c r="M28" s="172" t="s">
        <v>455</v>
      </c>
      <c r="N28" s="172" t="s">
        <v>479</v>
      </c>
      <c r="O28" s="164" t="s">
        <v>1456</v>
      </c>
      <c r="P28" s="177"/>
      <c r="Q28" s="36"/>
      <c r="R28" s="177"/>
    </row>
    <row r="29" s="92" customFormat="1" customHeight="1" spans="1:18">
      <c r="A29" s="157" t="s">
        <v>480</v>
      </c>
      <c r="B29" s="160" t="s">
        <v>246</v>
      </c>
      <c r="C29" s="159">
        <f t="shared" si="2"/>
        <v>0</v>
      </c>
      <c r="D29" s="159"/>
      <c r="E29" s="159"/>
      <c r="F29" s="159"/>
      <c r="G29" s="159"/>
      <c r="H29" s="159"/>
      <c r="I29" s="159"/>
      <c r="J29" s="159"/>
      <c r="K29" s="171" t="s">
        <v>1082</v>
      </c>
      <c r="L29" s="172" t="s">
        <v>480</v>
      </c>
      <c r="M29" s="172" t="s">
        <v>455</v>
      </c>
      <c r="N29" s="172" t="s">
        <v>480</v>
      </c>
      <c r="O29" s="164" t="s">
        <v>1463</v>
      </c>
      <c r="P29" s="177"/>
      <c r="Q29" s="36"/>
      <c r="R29" s="177"/>
    </row>
    <row r="30" s="92" customFormat="1" customHeight="1" spans="1:18">
      <c r="A30" s="157" t="s">
        <v>481</v>
      </c>
      <c r="B30" s="160" t="s">
        <v>247</v>
      </c>
      <c r="C30" s="159">
        <f t="shared" si="2"/>
        <v>1414</v>
      </c>
      <c r="D30" s="159">
        <v>1315</v>
      </c>
      <c r="E30" s="159"/>
      <c r="F30" s="159">
        <v>55</v>
      </c>
      <c r="G30" s="159"/>
      <c r="H30" s="159"/>
      <c r="I30" s="159"/>
      <c r="J30" s="159">
        <v>44</v>
      </c>
      <c r="K30" s="171" t="s">
        <v>1082</v>
      </c>
      <c r="L30" s="172" t="s">
        <v>481</v>
      </c>
      <c r="M30" s="172" t="s">
        <v>455</v>
      </c>
      <c r="N30" s="172" t="s">
        <v>481</v>
      </c>
      <c r="O30" s="164" t="s">
        <v>1475</v>
      </c>
      <c r="P30" s="177"/>
      <c r="Q30" s="36"/>
      <c r="R30" s="177"/>
    </row>
    <row r="31" s="92" customFormat="1" customHeight="1" spans="1:18">
      <c r="A31" s="157" t="s">
        <v>482</v>
      </c>
      <c r="B31" s="160" t="s">
        <v>248</v>
      </c>
      <c r="C31" s="159">
        <f t="shared" si="2"/>
        <v>132</v>
      </c>
      <c r="D31" s="159">
        <v>127</v>
      </c>
      <c r="E31" s="159">
        <v>5</v>
      </c>
      <c r="F31" s="159"/>
      <c r="G31" s="159"/>
      <c r="H31" s="159"/>
      <c r="I31" s="159"/>
      <c r="J31" s="159"/>
      <c r="K31" s="171" t="s">
        <v>1082</v>
      </c>
      <c r="L31" s="172" t="s">
        <v>482</v>
      </c>
      <c r="M31" s="172" t="s">
        <v>455</v>
      </c>
      <c r="N31" s="172" t="s">
        <v>482</v>
      </c>
      <c r="O31" s="164" t="s">
        <v>4156</v>
      </c>
      <c r="P31" s="177"/>
      <c r="Q31" s="36"/>
      <c r="R31" s="177"/>
    </row>
    <row r="32" s="92" customFormat="1" customHeight="1" spans="1:18">
      <c r="A32" s="157" t="s">
        <v>483</v>
      </c>
      <c r="B32" s="160" t="s">
        <v>249</v>
      </c>
      <c r="C32" s="159">
        <f t="shared" si="2"/>
        <v>163</v>
      </c>
      <c r="D32" s="159">
        <v>163</v>
      </c>
      <c r="E32" s="159"/>
      <c r="F32" s="159"/>
      <c r="G32" s="159"/>
      <c r="H32" s="159"/>
      <c r="I32" s="159"/>
      <c r="J32" s="159"/>
      <c r="K32" s="171" t="s">
        <v>1082</v>
      </c>
      <c r="L32" s="172" t="s">
        <v>483</v>
      </c>
      <c r="M32" s="172" t="s">
        <v>455</v>
      </c>
      <c r="N32" s="172" t="s">
        <v>483</v>
      </c>
      <c r="O32" s="164" t="s">
        <v>1519</v>
      </c>
      <c r="P32" s="177"/>
      <c r="Q32" s="36"/>
      <c r="R32" s="177"/>
    </row>
    <row r="33" s="92" customFormat="1" customHeight="1" spans="1:18">
      <c r="A33" s="157" t="s">
        <v>1530</v>
      </c>
      <c r="B33" s="160" t="s">
        <v>4157</v>
      </c>
      <c r="C33" s="159">
        <f t="shared" si="2"/>
        <v>0</v>
      </c>
      <c r="D33" s="159"/>
      <c r="E33" s="159"/>
      <c r="F33" s="159"/>
      <c r="G33" s="159"/>
      <c r="H33" s="159"/>
      <c r="I33" s="159"/>
      <c r="J33" s="159"/>
      <c r="K33" s="171" t="s">
        <v>1082</v>
      </c>
      <c r="L33" s="172" t="s">
        <v>1530</v>
      </c>
      <c r="M33" s="172" t="s">
        <v>455</v>
      </c>
      <c r="N33" s="172" t="s">
        <v>1530</v>
      </c>
      <c r="O33" s="164" t="s">
        <v>1532</v>
      </c>
      <c r="P33" s="177"/>
      <c r="Q33" s="36"/>
      <c r="R33" s="177"/>
    </row>
    <row r="34" s="92" customFormat="1" customHeight="1" spans="1:18">
      <c r="A34" s="157" t="s">
        <v>484</v>
      </c>
      <c r="B34" s="160" t="s">
        <v>250</v>
      </c>
      <c r="C34" s="159">
        <f t="shared" si="2"/>
        <v>2252</v>
      </c>
      <c r="D34" s="159"/>
      <c r="E34" s="159"/>
      <c r="F34" s="159"/>
      <c r="G34" s="162">
        <v>2252</v>
      </c>
      <c r="H34" s="159"/>
      <c r="I34" s="159"/>
      <c r="J34" s="159"/>
      <c r="K34" s="171" t="s">
        <v>1082</v>
      </c>
      <c r="L34" s="172" t="s">
        <v>484</v>
      </c>
      <c r="M34" s="172" t="s">
        <v>455</v>
      </c>
      <c r="N34" s="172" t="s">
        <v>484</v>
      </c>
      <c r="O34" s="164" t="s">
        <v>1540</v>
      </c>
      <c r="P34" s="177"/>
      <c r="Q34" s="36"/>
      <c r="R34" s="177"/>
    </row>
    <row r="35" s="93" customFormat="1" customHeight="1" spans="1:18">
      <c r="A35" s="154" t="s">
        <v>485</v>
      </c>
      <c r="B35" s="155" t="s">
        <v>251</v>
      </c>
      <c r="C35" s="156">
        <f t="shared" ref="C35:J35" si="3">SUM(C36:C44)</f>
        <v>0</v>
      </c>
      <c r="D35" s="156">
        <f t="shared" si="3"/>
        <v>0</v>
      </c>
      <c r="E35" s="156">
        <f t="shared" si="3"/>
        <v>0</v>
      </c>
      <c r="F35" s="156">
        <f t="shared" si="3"/>
        <v>0</v>
      </c>
      <c r="G35" s="156">
        <f t="shared" si="3"/>
        <v>0</v>
      </c>
      <c r="H35" s="156">
        <f t="shared" si="3"/>
        <v>0</v>
      </c>
      <c r="I35" s="156">
        <f t="shared" si="3"/>
        <v>0</v>
      </c>
      <c r="J35" s="156">
        <f t="shared" si="3"/>
        <v>0</v>
      </c>
      <c r="K35" s="173" t="s">
        <v>1081</v>
      </c>
      <c r="L35" s="174">
        <v>202</v>
      </c>
      <c r="M35" s="174">
        <v>202</v>
      </c>
      <c r="N35" s="174">
        <f t="shared" ref="N35:R35" si="4">SUM(N36:N44)</f>
        <v>0</v>
      </c>
      <c r="O35" s="175" t="s">
        <v>1546</v>
      </c>
      <c r="P35" s="176">
        <f t="shared" si="4"/>
        <v>0</v>
      </c>
      <c r="Q35" s="156">
        <f t="shared" si="4"/>
        <v>0</v>
      </c>
      <c r="R35" s="178">
        <f t="shared" si="4"/>
        <v>0</v>
      </c>
    </row>
    <row r="36" s="92" customFormat="1" customHeight="1" spans="1:18">
      <c r="A36" s="157" t="s">
        <v>1547</v>
      </c>
      <c r="B36" s="163" t="s">
        <v>4158</v>
      </c>
      <c r="C36" s="159">
        <f t="shared" ref="C36:C44" si="5">SUM(D36:J36)</f>
        <v>0</v>
      </c>
      <c r="D36" s="159">
        <v>0</v>
      </c>
      <c r="E36" s="159"/>
      <c r="F36" s="159">
        <v>0</v>
      </c>
      <c r="G36" s="159"/>
      <c r="H36" s="159"/>
      <c r="I36" s="159"/>
      <c r="J36" s="159"/>
      <c r="K36" s="171" t="s">
        <v>1082</v>
      </c>
      <c r="L36" s="172" t="s">
        <v>1547</v>
      </c>
      <c r="M36" s="172" t="s">
        <v>485</v>
      </c>
      <c r="N36" s="172" t="s">
        <v>1547</v>
      </c>
      <c r="O36" s="164" t="s">
        <v>1549</v>
      </c>
      <c r="P36" s="177"/>
      <c r="Q36" s="36"/>
      <c r="R36" s="177"/>
    </row>
    <row r="37" s="92" customFormat="1" customHeight="1" spans="1:18">
      <c r="A37" s="157" t="s">
        <v>1558</v>
      </c>
      <c r="B37" s="163" t="s">
        <v>4159</v>
      </c>
      <c r="C37" s="159">
        <f t="shared" si="5"/>
        <v>0</v>
      </c>
      <c r="D37" s="159"/>
      <c r="E37" s="159"/>
      <c r="F37" s="159"/>
      <c r="G37" s="159"/>
      <c r="H37" s="159"/>
      <c r="I37" s="159"/>
      <c r="J37" s="159"/>
      <c r="K37" s="171" t="s">
        <v>1082</v>
      </c>
      <c r="L37" s="172" t="s">
        <v>1558</v>
      </c>
      <c r="M37" s="172" t="s">
        <v>485</v>
      </c>
      <c r="N37" s="172" t="s">
        <v>1558</v>
      </c>
      <c r="O37" s="164" t="s">
        <v>1560</v>
      </c>
      <c r="P37" s="177"/>
      <c r="Q37" s="36"/>
      <c r="R37" s="177"/>
    </row>
    <row r="38" s="92" customFormat="1" customHeight="1" spans="1:18">
      <c r="A38" s="157" t="s">
        <v>1567</v>
      </c>
      <c r="B38" s="163" t="s">
        <v>4160</v>
      </c>
      <c r="C38" s="159">
        <f t="shared" si="5"/>
        <v>0</v>
      </c>
      <c r="D38" s="159"/>
      <c r="E38" s="159"/>
      <c r="F38" s="159"/>
      <c r="G38" s="159"/>
      <c r="H38" s="159"/>
      <c r="I38" s="159"/>
      <c r="J38" s="159"/>
      <c r="K38" s="171" t="s">
        <v>1082</v>
      </c>
      <c r="L38" s="172" t="s">
        <v>1567</v>
      </c>
      <c r="M38" s="172" t="s">
        <v>485</v>
      </c>
      <c r="N38" s="172" t="s">
        <v>1567</v>
      </c>
      <c r="O38" s="164" t="s">
        <v>1574</v>
      </c>
      <c r="P38" s="177"/>
      <c r="Q38" s="36"/>
      <c r="R38" s="177"/>
    </row>
    <row r="39" s="92" customFormat="1" customHeight="1" spans="1:18">
      <c r="A39" s="157" t="s">
        <v>1575</v>
      </c>
      <c r="B39" s="164" t="s">
        <v>4161</v>
      </c>
      <c r="C39" s="159">
        <f t="shared" si="5"/>
        <v>0</v>
      </c>
      <c r="D39" s="159"/>
      <c r="E39" s="159"/>
      <c r="F39" s="159"/>
      <c r="G39" s="159"/>
      <c r="H39" s="159"/>
      <c r="I39" s="159"/>
      <c r="J39" s="159"/>
      <c r="K39" s="171" t="s">
        <v>1082</v>
      </c>
      <c r="L39" s="172" t="s">
        <v>1575</v>
      </c>
      <c r="M39" s="172" t="s">
        <v>485</v>
      </c>
      <c r="N39" s="172" t="s">
        <v>1575</v>
      </c>
      <c r="O39" s="164" t="s">
        <v>4162</v>
      </c>
      <c r="P39" s="177"/>
      <c r="Q39" s="36"/>
      <c r="R39" s="177"/>
    </row>
    <row r="40" s="92" customFormat="1" customHeight="1" spans="1:18">
      <c r="A40" s="157" t="s">
        <v>486</v>
      </c>
      <c r="B40" s="164" t="s">
        <v>252</v>
      </c>
      <c r="C40" s="159">
        <f t="shared" si="5"/>
        <v>0</v>
      </c>
      <c r="D40" s="159"/>
      <c r="E40" s="159"/>
      <c r="F40" s="159"/>
      <c r="G40" s="159"/>
      <c r="H40" s="159"/>
      <c r="I40" s="159"/>
      <c r="J40" s="159"/>
      <c r="K40" s="171" t="s">
        <v>1082</v>
      </c>
      <c r="L40" s="172" t="s">
        <v>486</v>
      </c>
      <c r="M40" s="172" t="s">
        <v>485</v>
      </c>
      <c r="N40" s="172" t="s">
        <v>486</v>
      </c>
      <c r="O40" s="164" t="s">
        <v>1593</v>
      </c>
      <c r="P40" s="177"/>
      <c r="Q40" s="36"/>
      <c r="R40" s="177"/>
    </row>
    <row r="41" s="92" customFormat="1" customHeight="1" spans="1:18">
      <c r="A41" s="157" t="s">
        <v>1606</v>
      </c>
      <c r="B41" s="164" t="s">
        <v>4163</v>
      </c>
      <c r="C41" s="159">
        <f t="shared" si="5"/>
        <v>0</v>
      </c>
      <c r="D41" s="159"/>
      <c r="E41" s="159"/>
      <c r="F41" s="159"/>
      <c r="G41" s="159"/>
      <c r="H41" s="159"/>
      <c r="I41" s="159"/>
      <c r="J41" s="159"/>
      <c r="K41" s="171" t="s">
        <v>1082</v>
      </c>
      <c r="L41" s="172" t="s">
        <v>1606</v>
      </c>
      <c r="M41" s="172" t="s">
        <v>485</v>
      </c>
      <c r="N41" s="172" t="s">
        <v>1606</v>
      </c>
      <c r="O41" s="164" t="s">
        <v>1608</v>
      </c>
      <c r="P41" s="177"/>
      <c r="Q41" s="36"/>
      <c r="R41" s="177"/>
    </row>
    <row r="42" s="92" customFormat="1" customHeight="1" spans="1:18">
      <c r="A42" s="157" t="s">
        <v>1611</v>
      </c>
      <c r="B42" s="164" t="s">
        <v>4164</v>
      </c>
      <c r="C42" s="159">
        <f t="shared" si="5"/>
        <v>0</v>
      </c>
      <c r="D42" s="159"/>
      <c r="E42" s="159"/>
      <c r="F42" s="159"/>
      <c r="G42" s="159"/>
      <c r="H42" s="159"/>
      <c r="I42" s="159"/>
      <c r="J42" s="159"/>
      <c r="K42" s="171" t="s">
        <v>1082</v>
      </c>
      <c r="L42" s="172" t="s">
        <v>1611</v>
      </c>
      <c r="M42" s="172" t="s">
        <v>485</v>
      </c>
      <c r="N42" s="172" t="s">
        <v>1611</v>
      </c>
      <c r="O42" s="164" t="s">
        <v>1613</v>
      </c>
      <c r="P42" s="177"/>
      <c r="Q42" s="36"/>
      <c r="R42" s="177"/>
    </row>
    <row r="43" s="92" customFormat="1" customHeight="1" spans="1:18">
      <c r="A43" s="157" t="s">
        <v>1625</v>
      </c>
      <c r="B43" s="164" t="s">
        <v>4165</v>
      </c>
      <c r="C43" s="159">
        <f t="shared" si="5"/>
        <v>0</v>
      </c>
      <c r="D43" s="159"/>
      <c r="E43" s="159"/>
      <c r="F43" s="159"/>
      <c r="G43" s="159"/>
      <c r="H43" s="159"/>
      <c r="I43" s="159"/>
      <c r="J43" s="159"/>
      <c r="K43" s="171" t="s">
        <v>1082</v>
      </c>
      <c r="L43" s="172" t="s">
        <v>1625</v>
      </c>
      <c r="M43" s="172" t="s">
        <v>485</v>
      </c>
      <c r="N43" s="172" t="s">
        <v>1625</v>
      </c>
      <c r="O43" s="164" t="s">
        <v>1627</v>
      </c>
      <c r="P43" s="177"/>
      <c r="Q43" s="36"/>
      <c r="R43" s="177"/>
    </row>
    <row r="44" s="92" customFormat="1" customHeight="1" spans="1:18">
      <c r="A44" s="157" t="s">
        <v>487</v>
      </c>
      <c r="B44" s="163" t="s">
        <v>253</v>
      </c>
      <c r="C44" s="159">
        <f t="shared" si="5"/>
        <v>0</v>
      </c>
      <c r="D44" s="159">
        <v>0</v>
      </c>
      <c r="E44" s="159"/>
      <c r="F44" s="159">
        <v>0</v>
      </c>
      <c r="G44" s="159"/>
      <c r="H44" s="159"/>
      <c r="I44" s="159"/>
      <c r="J44" s="159"/>
      <c r="K44" s="171" t="s">
        <v>1082</v>
      </c>
      <c r="L44" s="172" t="s">
        <v>487</v>
      </c>
      <c r="M44" s="172" t="s">
        <v>485</v>
      </c>
      <c r="N44" s="172" t="s">
        <v>487</v>
      </c>
      <c r="O44" s="164" t="s">
        <v>1636</v>
      </c>
      <c r="P44" s="177"/>
      <c r="Q44" s="36"/>
      <c r="R44" s="177"/>
    </row>
    <row r="45" s="93" customFormat="1" customHeight="1" spans="1:18">
      <c r="A45" s="154" t="s">
        <v>488</v>
      </c>
      <c r="B45" s="155" t="s">
        <v>254</v>
      </c>
      <c r="C45" s="156">
        <f t="shared" ref="C45:J45" si="6">SUM(C46:C50)</f>
        <v>20</v>
      </c>
      <c r="D45" s="156">
        <f t="shared" si="6"/>
        <v>20</v>
      </c>
      <c r="E45" s="156">
        <f t="shared" si="6"/>
        <v>0</v>
      </c>
      <c r="F45" s="156">
        <f t="shared" si="6"/>
        <v>0</v>
      </c>
      <c r="G45" s="156">
        <f t="shared" si="6"/>
        <v>0</v>
      </c>
      <c r="H45" s="156">
        <f t="shared" si="6"/>
        <v>0</v>
      </c>
      <c r="I45" s="156">
        <f t="shared" si="6"/>
        <v>0</v>
      </c>
      <c r="J45" s="156">
        <f t="shared" si="6"/>
        <v>0</v>
      </c>
      <c r="K45" s="173" t="s">
        <v>1081</v>
      </c>
      <c r="L45" s="174">
        <v>203</v>
      </c>
      <c r="M45" s="174">
        <v>203</v>
      </c>
      <c r="N45" s="174">
        <f t="shared" ref="N45:R45" si="7">SUM(N46:N50)</f>
        <v>0</v>
      </c>
      <c r="O45" s="175" t="s">
        <v>1639</v>
      </c>
      <c r="P45" s="176">
        <f t="shared" si="7"/>
        <v>0</v>
      </c>
      <c r="Q45" s="156">
        <f t="shared" si="7"/>
        <v>0</v>
      </c>
      <c r="R45" s="178">
        <f t="shared" si="7"/>
        <v>0</v>
      </c>
    </row>
    <row r="46" s="92" customFormat="1" customHeight="1" spans="1:18">
      <c r="A46" s="157" t="s">
        <v>1640</v>
      </c>
      <c r="B46" s="164" t="s">
        <v>1641</v>
      </c>
      <c r="C46" s="159">
        <f t="shared" ref="C46:C50" si="8">SUM(D46:J46)</f>
        <v>0</v>
      </c>
      <c r="D46" s="159"/>
      <c r="E46" s="159"/>
      <c r="F46" s="159">
        <v>0</v>
      </c>
      <c r="G46" s="159"/>
      <c r="H46" s="159"/>
      <c r="I46" s="159"/>
      <c r="J46" s="159"/>
      <c r="K46" s="171" t="s">
        <v>1082</v>
      </c>
      <c r="L46" s="172" t="s">
        <v>1640</v>
      </c>
      <c r="M46" s="172" t="s">
        <v>488</v>
      </c>
      <c r="N46" s="172" t="s">
        <v>1640</v>
      </c>
      <c r="O46" s="164" t="s">
        <v>4166</v>
      </c>
      <c r="P46" s="177"/>
      <c r="Q46" s="36"/>
      <c r="R46" s="177"/>
    </row>
    <row r="47" s="92" customFormat="1" customHeight="1" spans="1:18">
      <c r="A47" s="157" t="s">
        <v>1654</v>
      </c>
      <c r="B47" s="164" t="s">
        <v>4167</v>
      </c>
      <c r="C47" s="159">
        <f t="shared" si="8"/>
        <v>0</v>
      </c>
      <c r="D47" s="159"/>
      <c r="E47" s="159"/>
      <c r="F47" s="159"/>
      <c r="G47" s="159"/>
      <c r="H47" s="159"/>
      <c r="I47" s="159"/>
      <c r="J47" s="159"/>
      <c r="K47" s="171" t="s">
        <v>1082</v>
      </c>
      <c r="L47" s="172" t="s">
        <v>1654</v>
      </c>
      <c r="M47" s="172" t="s">
        <v>488</v>
      </c>
      <c r="N47" s="172" t="s">
        <v>1654</v>
      </c>
      <c r="O47" s="164" t="s">
        <v>1655</v>
      </c>
      <c r="P47" s="177"/>
      <c r="Q47" s="36"/>
      <c r="R47" s="177"/>
    </row>
    <row r="48" s="92" customFormat="1" customHeight="1" spans="1:18">
      <c r="A48" s="157" t="s">
        <v>1657</v>
      </c>
      <c r="B48" s="164" t="s">
        <v>4168</v>
      </c>
      <c r="C48" s="159">
        <f t="shared" si="8"/>
        <v>0</v>
      </c>
      <c r="D48" s="159"/>
      <c r="E48" s="159"/>
      <c r="F48" s="159"/>
      <c r="G48" s="159"/>
      <c r="H48" s="159"/>
      <c r="I48" s="159"/>
      <c r="J48" s="159"/>
      <c r="K48" s="171" t="s">
        <v>1082</v>
      </c>
      <c r="L48" s="172" t="s">
        <v>1657</v>
      </c>
      <c r="M48" s="172" t="s">
        <v>488</v>
      </c>
      <c r="N48" s="172" t="s">
        <v>1657</v>
      </c>
      <c r="O48" s="164" t="s">
        <v>1659</v>
      </c>
      <c r="P48" s="177"/>
      <c r="Q48" s="36"/>
      <c r="R48" s="177"/>
    </row>
    <row r="49" s="92" customFormat="1" customHeight="1" spans="1:18">
      <c r="A49" s="157" t="s">
        <v>489</v>
      </c>
      <c r="B49" s="164" t="s">
        <v>255</v>
      </c>
      <c r="C49" s="159">
        <f t="shared" si="8"/>
        <v>20</v>
      </c>
      <c r="D49" s="159">
        <v>20</v>
      </c>
      <c r="E49" s="159"/>
      <c r="F49" s="159"/>
      <c r="G49" s="159"/>
      <c r="H49" s="159"/>
      <c r="I49" s="159"/>
      <c r="J49" s="159"/>
      <c r="K49" s="171" t="s">
        <v>1082</v>
      </c>
      <c r="L49" s="172" t="s">
        <v>489</v>
      </c>
      <c r="M49" s="172" t="s">
        <v>488</v>
      </c>
      <c r="N49" s="172" t="s">
        <v>489</v>
      </c>
      <c r="O49" s="164" t="s">
        <v>1642</v>
      </c>
      <c r="P49" s="177"/>
      <c r="Q49" s="36"/>
      <c r="R49" s="177"/>
    </row>
    <row r="50" s="92" customFormat="1" customHeight="1" spans="1:18">
      <c r="A50" s="157" t="s">
        <v>490</v>
      </c>
      <c r="B50" s="164" t="s">
        <v>256</v>
      </c>
      <c r="C50" s="159">
        <f t="shared" si="8"/>
        <v>0</v>
      </c>
      <c r="D50" s="159">
        <v>0</v>
      </c>
      <c r="E50" s="159"/>
      <c r="F50" s="159">
        <v>0</v>
      </c>
      <c r="G50" s="159"/>
      <c r="H50" s="159"/>
      <c r="I50" s="159"/>
      <c r="J50" s="159"/>
      <c r="K50" s="171" t="s">
        <v>1082</v>
      </c>
      <c r="L50" s="172" t="s">
        <v>490</v>
      </c>
      <c r="M50" s="172" t="s">
        <v>488</v>
      </c>
      <c r="N50" s="172" t="s">
        <v>490</v>
      </c>
      <c r="O50" s="164" t="s">
        <v>1683</v>
      </c>
      <c r="P50" s="177"/>
      <c r="Q50" s="36"/>
      <c r="R50" s="177"/>
    </row>
    <row r="51" s="93" customFormat="1" customHeight="1" spans="1:18">
      <c r="A51" s="154" t="s">
        <v>491</v>
      </c>
      <c r="B51" s="155" t="s">
        <v>257</v>
      </c>
      <c r="C51" s="156">
        <f t="shared" ref="C51:J51" si="9">SUM(C52:C62)</f>
        <v>10731</v>
      </c>
      <c r="D51" s="156">
        <f t="shared" si="9"/>
        <v>7599</v>
      </c>
      <c r="E51" s="156">
        <f t="shared" si="9"/>
        <v>0</v>
      </c>
      <c r="F51" s="156">
        <f t="shared" si="9"/>
        <v>3124</v>
      </c>
      <c r="G51" s="156">
        <f t="shared" si="9"/>
        <v>0</v>
      </c>
      <c r="H51" s="156">
        <f t="shared" si="9"/>
        <v>0</v>
      </c>
      <c r="I51" s="156">
        <f t="shared" si="9"/>
        <v>0</v>
      </c>
      <c r="J51" s="156">
        <f t="shared" si="9"/>
        <v>8</v>
      </c>
      <c r="K51" s="173" t="s">
        <v>1081</v>
      </c>
      <c r="L51" s="174">
        <v>204</v>
      </c>
      <c r="M51" s="174">
        <v>204</v>
      </c>
      <c r="N51" s="174">
        <f t="shared" ref="N51:R51" si="10">SUM(N52:N62)</f>
        <v>0</v>
      </c>
      <c r="O51" s="175" t="s">
        <v>1687</v>
      </c>
      <c r="P51" s="176">
        <f t="shared" si="10"/>
        <v>0</v>
      </c>
      <c r="Q51" s="156">
        <f t="shared" si="10"/>
        <v>0</v>
      </c>
      <c r="R51" s="178">
        <f t="shared" si="10"/>
        <v>0</v>
      </c>
    </row>
    <row r="52" s="92" customFormat="1" customHeight="1" spans="1:18">
      <c r="A52" s="157" t="s">
        <v>492</v>
      </c>
      <c r="B52" s="158" t="s">
        <v>258</v>
      </c>
      <c r="C52" s="159">
        <f t="shared" ref="C52:C62" si="11">SUM(D52:J52)</f>
        <v>12</v>
      </c>
      <c r="D52" s="159">
        <v>12</v>
      </c>
      <c r="E52" s="159"/>
      <c r="F52" s="159"/>
      <c r="G52" s="159"/>
      <c r="H52" s="159"/>
      <c r="I52" s="159"/>
      <c r="J52" s="159"/>
      <c r="K52" s="171" t="s">
        <v>1082</v>
      </c>
      <c r="L52" s="172" t="s">
        <v>492</v>
      </c>
      <c r="M52" s="172" t="s">
        <v>491</v>
      </c>
      <c r="N52" s="172" t="s">
        <v>492</v>
      </c>
      <c r="O52" s="164" t="s">
        <v>1688</v>
      </c>
      <c r="P52" s="177"/>
      <c r="Q52" s="36"/>
      <c r="R52" s="177"/>
    </row>
    <row r="53" s="92" customFormat="1" customHeight="1" spans="1:18">
      <c r="A53" s="157" t="s">
        <v>493</v>
      </c>
      <c r="B53" s="160" t="s">
        <v>259</v>
      </c>
      <c r="C53" s="159">
        <f t="shared" si="11"/>
        <v>9851</v>
      </c>
      <c r="D53" s="159">
        <v>6798</v>
      </c>
      <c r="E53" s="159"/>
      <c r="F53" s="159">
        <v>3053</v>
      </c>
      <c r="G53" s="159"/>
      <c r="H53" s="159"/>
      <c r="I53" s="159"/>
      <c r="J53" s="159"/>
      <c r="K53" s="171" t="s">
        <v>1082</v>
      </c>
      <c r="L53" s="172" t="s">
        <v>493</v>
      </c>
      <c r="M53" s="172" t="s">
        <v>491</v>
      </c>
      <c r="N53" s="172" t="s">
        <v>493</v>
      </c>
      <c r="O53" s="164" t="s">
        <v>1694</v>
      </c>
      <c r="P53" s="177"/>
      <c r="Q53" s="36"/>
      <c r="R53" s="177"/>
    </row>
    <row r="54" s="92" customFormat="1" customHeight="1" spans="1:18">
      <c r="A54" s="157" t="s">
        <v>494</v>
      </c>
      <c r="B54" s="158" t="s">
        <v>260</v>
      </c>
      <c r="C54" s="159">
        <f t="shared" si="11"/>
        <v>65</v>
      </c>
      <c r="D54" s="159">
        <v>65</v>
      </c>
      <c r="E54" s="159"/>
      <c r="F54" s="159"/>
      <c r="G54" s="159"/>
      <c r="H54" s="159"/>
      <c r="I54" s="159"/>
      <c r="J54" s="159"/>
      <c r="K54" s="171" t="s">
        <v>1082</v>
      </c>
      <c r="L54" s="172" t="s">
        <v>494</v>
      </c>
      <c r="M54" s="172" t="s">
        <v>491</v>
      </c>
      <c r="N54" s="172" t="s">
        <v>494</v>
      </c>
      <c r="O54" s="164" t="s">
        <v>1715</v>
      </c>
      <c r="P54" s="177"/>
      <c r="Q54" s="36"/>
      <c r="R54" s="177"/>
    </row>
    <row r="55" s="92" customFormat="1" customHeight="1" spans="1:18">
      <c r="A55" s="157" t="s">
        <v>495</v>
      </c>
      <c r="B55" s="158" t="s">
        <v>261</v>
      </c>
      <c r="C55" s="159">
        <f t="shared" si="11"/>
        <v>0</v>
      </c>
      <c r="D55" s="159"/>
      <c r="E55" s="159"/>
      <c r="F55" s="159"/>
      <c r="G55" s="159"/>
      <c r="H55" s="159"/>
      <c r="I55" s="159"/>
      <c r="J55" s="159"/>
      <c r="K55" s="171" t="s">
        <v>1082</v>
      </c>
      <c r="L55" s="172" t="s">
        <v>495</v>
      </c>
      <c r="M55" s="172" t="s">
        <v>491</v>
      </c>
      <c r="N55" s="172" t="s">
        <v>495</v>
      </c>
      <c r="O55" s="164" t="s">
        <v>1726</v>
      </c>
      <c r="P55" s="177"/>
      <c r="Q55" s="36"/>
      <c r="R55" s="177"/>
    </row>
    <row r="56" s="92" customFormat="1" customHeight="1" spans="1:18">
      <c r="A56" s="157" t="s">
        <v>496</v>
      </c>
      <c r="B56" s="161" t="s">
        <v>262</v>
      </c>
      <c r="C56" s="159">
        <f t="shared" si="11"/>
        <v>0</v>
      </c>
      <c r="D56" s="159"/>
      <c r="E56" s="159"/>
      <c r="F56" s="159"/>
      <c r="G56" s="159"/>
      <c r="H56" s="159"/>
      <c r="I56" s="159"/>
      <c r="J56" s="159"/>
      <c r="K56" s="171" t="s">
        <v>1082</v>
      </c>
      <c r="L56" s="172" t="s">
        <v>496</v>
      </c>
      <c r="M56" s="172" t="s">
        <v>491</v>
      </c>
      <c r="N56" s="172" t="s">
        <v>496</v>
      </c>
      <c r="O56" s="164" t="s">
        <v>1740</v>
      </c>
      <c r="P56" s="177"/>
      <c r="Q56" s="36"/>
      <c r="R56" s="177"/>
    </row>
    <row r="57" s="92" customFormat="1" customHeight="1" spans="1:18">
      <c r="A57" s="157" t="s">
        <v>497</v>
      </c>
      <c r="B57" s="158" t="s">
        <v>263</v>
      </c>
      <c r="C57" s="159">
        <f t="shared" si="11"/>
        <v>803</v>
      </c>
      <c r="D57" s="159">
        <v>724</v>
      </c>
      <c r="E57" s="159"/>
      <c r="F57" s="159">
        <v>71</v>
      </c>
      <c r="G57" s="159"/>
      <c r="H57" s="159"/>
      <c r="I57" s="159"/>
      <c r="J57" s="159">
        <v>8</v>
      </c>
      <c r="K57" s="171" t="s">
        <v>1082</v>
      </c>
      <c r="L57" s="172" t="s">
        <v>497</v>
      </c>
      <c r="M57" s="172" t="s">
        <v>491</v>
      </c>
      <c r="N57" s="172" t="s">
        <v>497</v>
      </c>
      <c r="O57" s="164" t="s">
        <v>1757</v>
      </c>
      <c r="P57" s="177"/>
      <c r="Q57" s="36"/>
      <c r="R57" s="177"/>
    </row>
    <row r="58" s="92" customFormat="1" customHeight="1" spans="1:18">
      <c r="A58" s="157" t="s">
        <v>498</v>
      </c>
      <c r="B58" s="158" t="s">
        <v>264</v>
      </c>
      <c r="C58" s="159">
        <f t="shared" si="11"/>
        <v>0</v>
      </c>
      <c r="D58" s="159"/>
      <c r="E58" s="159"/>
      <c r="F58" s="159"/>
      <c r="G58" s="159"/>
      <c r="H58" s="159"/>
      <c r="I58" s="159"/>
      <c r="J58" s="159"/>
      <c r="K58" s="171" t="s">
        <v>1082</v>
      </c>
      <c r="L58" s="172" t="s">
        <v>498</v>
      </c>
      <c r="M58" s="172" t="s">
        <v>491</v>
      </c>
      <c r="N58" s="172" t="s">
        <v>498</v>
      </c>
      <c r="O58" s="164" t="s">
        <v>1787</v>
      </c>
      <c r="P58" s="177"/>
      <c r="Q58" s="36"/>
      <c r="R58" s="177"/>
    </row>
    <row r="59" s="92" customFormat="1" customHeight="1" spans="1:18">
      <c r="A59" s="157" t="s">
        <v>499</v>
      </c>
      <c r="B59" s="160" t="s">
        <v>265</v>
      </c>
      <c r="C59" s="159">
        <f t="shared" si="11"/>
        <v>0</v>
      </c>
      <c r="D59" s="159"/>
      <c r="E59" s="159"/>
      <c r="F59" s="159"/>
      <c r="G59" s="159"/>
      <c r="H59" s="159"/>
      <c r="I59" s="159"/>
      <c r="J59" s="159"/>
      <c r="K59" s="171" t="s">
        <v>1082</v>
      </c>
      <c r="L59" s="172" t="s">
        <v>499</v>
      </c>
      <c r="M59" s="172" t="s">
        <v>491</v>
      </c>
      <c r="N59" s="172" t="s">
        <v>499</v>
      </c>
      <c r="O59" s="164" t="s">
        <v>1805</v>
      </c>
      <c r="P59" s="177"/>
      <c r="Q59" s="36"/>
      <c r="R59" s="177"/>
    </row>
    <row r="60" s="92" customFormat="1" customHeight="1" spans="1:18">
      <c r="A60" s="157" t="s">
        <v>500</v>
      </c>
      <c r="B60" s="161" t="s">
        <v>266</v>
      </c>
      <c r="C60" s="159">
        <f t="shared" si="11"/>
        <v>0</v>
      </c>
      <c r="D60" s="159">
        <v>0</v>
      </c>
      <c r="E60" s="159"/>
      <c r="F60" s="159">
        <v>0</v>
      </c>
      <c r="G60" s="159"/>
      <c r="H60" s="159"/>
      <c r="I60" s="159"/>
      <c r="J60" s="159"/>
      <c r="K60" s="171" t="s">
        <v>1082</v>
      </c>
      <c r="L60" s="172" t="s">
        <v>500</v>
      </c>
      <c r="M60" s="172" t="s">
        <v>491</v>
      </c>
      <c r="N60" s="172" t="s">
        <v>500</v>
      </c>
      <c r="O60" s="164" t="s">
        <v>1823</v>
      </c>
      <c r="P60" s="177"/>
      <c r="Q60" s="36"/>
      <c r="R60" s="177"/>
    </row>
    <row r="61" s="92" customFormat="1" customHeight="1" spans="1:18">
      <c r="A61" s="157" t="s">
        <v>501</v>
      </c>
      <c r="B61" s="158" t="s">
        <v>267</v>
      </c>
      <c r="C61" s="159">
        <f t="shared" si="11"/>
        <v>0</v>
      </c>
      <c r="D61" s="159">
        <v>0</v>
      </c>
      <c r="E61" s="159"/>
      <c r="F61" s="159">
        <v>0</v>
      </c>
      <c r="G61" s="159"/>
      <c r="H61" s="159"/>
      <c r="I61" s="159"/>
      <c r="J61" s="159"/>
      <c r="K61" s="171" t="s">
        <v>1082</v>
      </c>
      <c r="L61" s="172" t="s">
        <v>501</v>
      </c>
      <c r="M61" s="172" t="s">
        <v>491</v>
      </c>
      <c r="N61" s="172" t="s">
        <v>501</v>
      </c>
      <c r="O61" s="164" t="s">
        <v>1837</v>
      </c>
      <c r="P61" s="177"/>
      <c r="Q61" s="36"/>
      <c r="R61" s="177"/>
    </row>
    <row r="62" s="92" customFormat="1" customHeight="1" spans="1:18">
      <c r="A62" s="157" t="s">
        <v>502</v>
      </c>
      <c r="B62" s="158" t="s">
        <v>268</v>
      </c>
      <c r="C62" s="159">
        <f t="shared" si="11"/>
        <v>0</v>
      </c>
      <c r="D62" s="159">
        <v>0</v>
      </c>
      <c r="E62" s="159"/>
      <c r="F62" s="159">
        <v>0</v>
      </c>
      <c r="G62" s="159"/>
      <c r="H62" s="159"/>
      <c r="I62" s="159"/>
      <c r="J62" s="159"/>
      <c r="K62" s="171" t="s">
        <v>1082</v>
      </c>
      <c r="L62" s="172" t="s">
        <v>502</v>
      </c>
      <c r="M62" s="172" t="s">
        <v>491</v>
      </c>
      <c r="N62" s="172" t="s">
        <v>502</v>
      </c>
      <c r="O62" s="164" t="s">
        <v>1847</v>
      </c>
      <c r="P62" s="177"/>
      <c r="Q62" s="36"/>
      <c r="R62" s="177"/>
    </row>
    <row r="63" s="93" customFormat="1" customHeight="1" spans="1:18">
      <c r="A63" s="154" t="s">
        <v>503</v>
      </c>
      <c r="B63" s="155" t="s">
        <v>269</v>
      </c>
      <c r="C63" s="156">
        <f t="shared" ref="C63:J63" si="12">SUM(C64:C73)</f>
        <v>78779</v>
      </c>
      <c r="D63" s="156">
        <f t="shared" si="12"/>
        <v>56678</v>
      </c>
      <c r="E63" s="156">
        <f t="shared" si="12"/>
        <v>0</v>
      </c>
      <c r="F63" s="156">
        <f t="shared" si="12"/>
        <v>12534</v>
      </c>
      <c r="G63" s="156">
        <f t="shared" si="12"/>
        <v>6326</v>
      </c>
      <c r="H63" s="156">
        <f t="shared" si="12"/>
        <v>0</v>
      </c>
      <c r="I63" s="156">
        <f t="shared" si="12"/>
        <v>0</v>
      </c>
      <c r="J63" s="156">
        <f t="shared" si="12"/>
        <v>3241</v>
      </c>
      <c r="K63" s="173" t="s">
        <v>1081</v>
      </c>
      <c r="L63" s="174">
        <v>205</v>
      </c>
      <c r="M63" s="174">
        <v>205</v>
      </c>
      <c r="N63" s="174">
        <f t="shared" ref="N63:R63" si="13">SUM(N64:N73)</f>
        <v>0</v>
      </c>
      <c r="O63" s="175" t="s">
        <v>1853</v>
      </c>
      <c r="P63" s="176">
        <f t="shared" si="13"/>
        <v>0</v>
      </c>
      <c r="Q63" s="156">
        <f t="shared" si="13"/>
        <v>0</v>
      </c>
      <c r="R63" s="178">
        <f t="shared" si="13"/>
        <v>0</v>
      </c>
    </row>
    <row r="64" s="92" customFormat="1" customHeight="1" spans="1:18">
      <c r="A64" s="157" t="s">
        <v>504</v>
      </c>
      <c r="B64" s="160" t="s">
        <v>270</v>
      </c>
      <c r="C64" s="159">
        <f t="shared" ref="C64:C73" si="14">SUM(D64:J64)</f>
        <v>143</v>
      </c>
      <c r="D64" s="159">
        <v>143</v>
      </c>
      <c r="E64" s="159"/>
      <c r="F64" s="159"/>
      <c r="G64" s="159"/>
      <c r="H64" s="159"/>
      <c r="I64" s="159"/>
      <c r="J64" s="159"/>
      <c r="K64" s="171" t="s">
        <v>1082</v>
      </c>
      <c r="L64" s="172" t="s">
        <v>504</v>
      </c>
      <c r="M64" s="172" t="s">
        <v>503</v>
      </c>
      <c r="N64" s="172" t="s">
        <v>504</v>
      </c>
      <c r="O64" s="164" t="s">
        <v>1854</v>
      </c>
      <c r="P64" s="177"/>
      <c r="Q64" s="36"/>
      <c r="R64" s="177"/>
    </row>
    <row r="65" s="92" customFormat="1" customHeight="1" spans="1:18">
      <c r="A65" s="157" t="s">
        <v>505</v>
      </c>
      <c r="B65" s="158" t="s">
        <v>271</v>
      </c>
      <c r="C65" s="159">
        <f t="shared" si="14"/>
        <v>73806</v>
      </c>
      <c r="D65" s="162">
        <f>61372-5120</f>
        <v>56252</v>
      </c>
      <c r="E65" s="159"/>
      <c r="F65" s="159">
        <v>9393</v>
      </c>
      <c r="G65" s="162">
        <v>5120</v>
      </c>
      <c r="H65" s="159"/>
      <c r="I65" s="159"/>
      <c r="J65" s="159">
        <v>3041</v>
      </c>
      <c r="K65" s="171" t="s">
        <v>1082</v>
      </c>
      <c r="L65" s="172" t="s">
        <v>505</v>
      </c>
      <c r="M65" s="172" t="s">
        <v>503</v>
      </c>
      <c r="N65" s="172" t="s">
        <v>505</v>
      </c>
      <c r="O65" s="164" t="s">
        <v>1861</v>
      </c>
      <c r="P65" s="177"/>
      <c r="Q65" s="36"/>
      <c r="R65" s="177"/>
    </row>
    <row r="66" s="92" customFormat="1" customHeight="1" spans="1:18">
      <c r="A66" s="157" t="s">
        <v>506</v>
      </c>
      <c r="B66" s="158" t="s">
        <v>272</v>
      </c>
      <c r="C66" s="159">
        <f t="shared" si="14"/>
        <v>200</v>
      </c>
      <c r="D66" s="159"/>
      <c r="E66" s="159"/>
      <c r="F66" s="159"/>
      <c r="G66" s="159"/>
      <c r="H66" s="159"/>
      <c r="I66" s="159"/>
      <c r="J66" s="159">
        <v>200</v>
      </c>
      <c r="K66" s="171" t="s">
        <v>1082</v>
      </c>
      <c r="L66" s="172" t="s">
        <v>506</v>
      </c>
      <c r="M66" s="172" t="s">
        <v>503</v>
      </c>
      <c r="N66" s="172" t="s">
        <v>506</v>
      </c>
      <c r="O66" s="164" t="s">
        <v>1880</v>
      </c>
      <c r="P66" s="177"/>
      <c r="Q66" s="36"/>
      <c r="R66" s="177"/>
    </row>
    <row r="67" s="92" customFormat="1" customHeight="1" spans="1:18">
      <c r="A67" s="157" t="s">
        <v>507</v>
      </c>
      <c r="B67" s="161" t="s">
        <v>273</v>
      </c>
      <c r="C67" s="159">
        <f t="shared" si="14"/>
        <v>0</v>
      </c>
      <c r="D67" s="159"/>
      <c r="E67" s="159"/>
      <c r="F67" s="159"/>
      <c r="G67" s="159"/>
      <c r="H67" s="159"/>
      <c r="I67" s="159"/>
      <c r="J67" s="159"/>
      <c r="K67" s="171" t="s">
        <v>1082</v>
      </c>
      <c r="L67" s="172" t="s">
        <v>507</v>
      </c>
      <c r="M67" s="172" t="s">
        <v>503</v>
      </c>
      <c r="N67" s="172" t="s">
        <v>507</v>
      </c>
      <c r="O67" s="164" t="s">
        <v>1896</v>
      </c>
      <c r="P67" s="177"/>
      <c r="Q67" s="36"/>
      <c r="R67" s="177"/>
    </row>
    <row r="68" s="92" customFormat="1" customHeight="1" spans="1:18">
      <c r="A68" s="157" t="s">
        <v>508</v>
      </c>
      <c r="B68" s="160" t="s">
        <v>274</v>
      </c>
      <c r="C68" s="159">
        <f t="shared" si="14"/>
        <v>0</v>
      </c>
      <c r="D68" s="159"/>
      <c r="E68" s="159"/>
      <c r="F68" s="159"/>
      <c r="G68" s="159"/>
      <c r="H68" s="159"/>
      <c r="I68" s="159"/>
      <c r="J68" s="159"/>
      <c r="K68" s="171" t="s">
        <v>1082</v>
      </c>
      <c r="L68" s="172" t="s">
        <v>508</v>
      </c>
      <c r="M68" s="172" t="s">
        <v>503</v>
      </c>
      <c r="N68" s="172" t="s">
        <v>508</v>
      </c>
      <c r="O68" s="164" t="s">
        <v>1912</v>
      </c>
      <c r="P68" s="177"/>
      <c r="Q68" s="36"/>
      <c r="R68" s="177"/>
    </row>
    <row r="69" s="92" customFormat="1" customHeight="1" spans="1:18">
      <c r="A69" s="157" t="s">
        <v>509</v>
      </c>
      <c r="B69" s="160" t="s">
        <v>275</v>
      </c>
      <c r="C69" s="159">
        <f t="shared" si="14"/>
        <v>0</v>
      </c>
      <c r="D69" s="159"/>
      <c r="E69" s="159"/>
      <c r="F69" s="159"/>
      <c r="G69" s="159"/>
      <c r="H69" s="159"/>
      <c r="I69" s="159"/>
      <c r="J69" s="159"/>
      <c r="K69" s="171" t="s">
        <v>1082</v>
      </c>
      <c r="L69" s="172" t="s">
        <v>509</v>
      </c>
      <c r="M69" s="172" t="s">
        <v>503</v>
      </c>
      <c r="N69" s="172" t="s">
        <v>509</v>
      </c>
      <c r="O69" s="164" t="s">
        <v>1922</v>
      </c>
      <c r="P69" s="177"/>
      <c r="Q69" s="36"/>
      <c r="R69" s="177"/>
    </row>
    <row r="70" s="92" customFormat="1" customHeight="1" spans="1:18">
      <c r="A70" s="157" t="s">
        <v>510</v>
      </c>
      <c r="B70" s="158" t="s">
        <v>276</v>
      </c>
      <c r="C70" s="159">
        <f t="shared" si="14"/>
        <v>301</v>
      </c>
      <c r="D70" s="159">
        <v>283</v>
      </c>
      <c r="E70" s="159"/>
      <c r="F70" s="159">
        <v>18</v>
      </c>
      <c r="G70" s="159"/>
      <c r="H70" s="159"/>
      <c r="I70" s="159"/>
      <c r="J70" s="159"/>
      <c r="K70" s="171" t="s">
        <v>1082</v>
      </c>
      <c r="L70" s="172" t="s">
        <v>510</v>
      </c>
      <c r="M70" s="172" t="s">
        <v>503</v>
      </c>
      <c r="N70" s="172" t="s">
        <v>510</v>
      </c>
      <c r="O70" s="164" t="s">
        <v>1932</v>
      </c>
      <c r="P70" s="177"/>
      <c r="Q70" s="36"/>
      <c r="R70" s="177"/>
    </row>
    <row r="71" s="92" customFormat="1" customHeight="1" spans="1:18">
      <c r="A71" s="157" t="s">
        <v>511</v>
      </c>
      <c r="B71" s="160" t="s">
        <v>277</v>
      </c>
      <c r="C71" s="159">
        <f t="shared" si="14"/>
        <v>266</v>
      </c>
      <c r="D71" s="159"/>
      <c r="E71" s="159"/>
      <c r="F71" s="159"/>
      <c r="G71" s="162">
        <v>266</v>
      </c>
      <c r="H71" s="159"/>
      <c r="I71" s="159"/>
      <c r="J71" s="159"/>
      <c r="K71" s="171" t="s">
        <v>1082</v>
      </c>
      <c r="L71" s="172" t="s">
        <v>511</v>
      </c>
      <c r="M71" s="172" t="s">
        <v>503</v>
      </c>
      <c r="N71" s="172" t="s">
        <v>511</v>
      </c>
      <c r="O71" s="164" t="s">
        <v>1942</v>
      </c>
      <c r="P71" s="177"/>
      <c r="Q71" s="36"/>
      <c r="R71" s="177"/>
    </row>
    <row r="72" s="92" customFormat="1" customHeight="1" spans="1:18">
      <c r="A72" s="157" t="s">
        <v>512</v>
      </c>
      <c r="B72" s="158" t="s">
        <v>278</v>
      </c>
      <c r="C72" s="159">
        <f t="shared" si="14"/>
        <v>4063</v>
      </c>
      <c r="D72" s="159"/>
      <c r="E72" s="159"/>
      <c r="F72" s="159">
        <v>3123</v>
      </c>
      <c r="G72" s="162">
        <v>940</v>
      </c>
      <c r="H72" s="159"/>
      <c r="I72" s="159"/>
      <c r="J72" s="159"/>
      <c r="K72" s="171" t="s">
        <v>1082</v>
      </c>
      <c r="L72" s="172" t="s">
        <v>512</v>
      </c>
      <c r="M72" s="172" t="s">
        <v>503</v>
      </c>
      <c r="N72" s="172" t="s">
        <v>512</v>
      </c>
      <c r="O72" s="164" t="s">
        <v>1958</v>
      </c>
      <c r="P72" s="177"/>
      <c r="Q72" s="36"/>
      <c r="R72" s="177"/>
    </row>
    <row r="73" s="92" customFormat="1" customHeight="1" spans="1:18">
      <c r="A73" s="157" t="s">
        <v>513</v>
      </c>
      <c r="B73" s="158" t="s">
        <v>279</v>
      </c>
      <c r="C73" s="159">
        <f t="shared" si="14"/>
        <v>0</v>
      </c>
      <c r="D73" s="159"/>
      <c r="E73" s="159"/>
      <c r="F73" s="159"/>
      <c r="G73" s="159"/>
      <c r="H73" s="159"/>
      <c r="I73" s="159"/>
      <c r="J73" s="159"/>
      <c r="K73" s="171" t="s">
        <v>1082</v>
      </c>
      <c r="L73" s="172" t="s">
        <v>513</v>
      </c>
      <c r="M73" s="172" t="s">
        <v>503</v>
      </c>
      <c r="N73" s="172" t="s">
        <v>513</v>
      </c>
      <c r="O73" s="164" t="s">
        <v>1977</v>
      </c>
      <c r="P73" s="177"/>
      <c r="Q73" s="36"/>
      <c r="R73" s="177"/>
    </row>
    <row r="74" s="93" customFormat="1" customHeight="1" spans="1:18">
      <c r="A74" s="154" t="s">
        <v>514</v>
      </c>
      <c r="B74" s="155" t="s">
        <v>280</v>
      </c>
      <c r="C74" s="156">
        <f t="shared" ref="C74:J74" si="15">SUM(C75:C84)</f>
        <v>2227</v>
      </c>
      <c r="D74" s="156">
        <f t="shared" si="15"/>
        <v>493</v>
      </c>
      <c r="E74" s="156">
        <f t="shared" si="15"/>
        <v>0</v>
      </c>
      <c r="F74" s="156">
        <f t="shared" si="15"/>
        <v>57</v>
      </c>
      <c r="G74" s="156">
        <f t="shared" si="15"/>
        <v>1677</v>
      </c>
      <c r="H74" s="156">
        <f t="shared" si="15"/>
        <v>0</v>
      </c>
      <c r="I74" s="156">
        <f t="shared" si="15"/>
        <v>0</v>
      </c>
      <c r="J74" s="156">
        <f t="shared" si="15"/>
        <v>0</v>
      </c>
      <c r="K74" s="173" t="s">
        <v>1081</v>
      </c>
      <c r="L74" s="174">
        <v>206</v>
      </c>
      <c r="M74" s="174">
        <v>206</v>
      </c>
      <c r="N74" s="174">
        <f t="shared" ref="N74:R74" si="16">SUM(N75:N84)</f>
        <v>0</v>
      </c>
      <c r="O74" s="175" t="s">
        <v>1980</v>
      </c>
      <c r="P74" s="176">
        <f t="shared" si="16"/>
        <v>0</v>
      </c>
      <c r="Q74" s="156">
        <f t="shared" si="16"/>
        <v>0</v>
      </c>
      <c r="R74" s="178">
        <f t="shared" si="16"/>
        <v>0</v>
      </c>
    </row>
    <row r="75" s="92" customFormat="1" customHeight="1" spans="1:18">
      <c r="A75" s="157" t="s">
        <v>515</v>
      </c>
      <c r="B75" s="160" t="s">
        <v>281</v>
      </c>
      <c r="C75" s="159">
        <f t="shared" ref="C75:C84" si="17">SUM(D75:J75)</f>
        <v>217</v>
      </c>
      <c r="D75" s="159">
        <v>217</v>
      </c>
      <c r="E75" s="159"/>
      <c r="F75" s="159"/>
      <c r="G75" s="159"/>
      <c r="H75" s="159"/>
      <c r="I75" s="159"/>
      <c r="J75" s="159"/>
      <c r="K75" s="171" t="s">
        <v>1082</v>
      </c>
      <c r="L75" s="172" t="s">
        <v>515</v>
      </c>
      <c r="M75" s="172" t="s">
        <v>514</v>
      </c>
      <c r="N75" s="172" t="s">
        <v>515</v>
      </c>
      <c r="O75" s="164" t="s">
        <v>1981</v>
      </c>
      <c r="P75" s="177"/>
      <c r="Q75" s="36"/>
      <c r="R75" s="177"/>
    </row>
    <row r="76" s="92" customFormat="1" customHeight="1" spans="1:18">
      <c r="A76" s="157" t="s">
        <v>516</v>
      </c>
      <c r="B76" s="158" t="s">
        <v>282</v>
      </c>
      <c r="C76" s="159">
        <f t="shared" si="17"/>
        <v>196</v>
      </c>
      <c r="D76" s="159">
        <v>196</v>
      </c>
      <c r="E76" s="159"/>
      <c r="F76" s="159"/>
      <c r="G76" s="159"/>
      <c r="H76" s="159"/>
      <c r="I76" s="159"/>
      <c r="J76" s="159"/>
      <c r="K76" s="171" t="s">
        <v>1082</v>
      </c>
      <c r="L76" s="172" t="s">
        <v>516</v>
      </c>
      <c r="M76" s="172" t="s">
        <v>514</v>
      </c>
      <c r="N76" s="172" t="s">
        <v>516</v>
      </c>
      <c r="O76" s="164" t="s">
        <v>1988</v>
      </c>
      <c r="P76" s="177"/>
      <c r="Q76" s="36"/>
      <c r="R76" s="177"/>
    </row>
    <row r="77" s="92" customFormat="1" customHeight="1" spans="1:18">
      <c r="A77" s="157" t="s">
        <v>517</v>
      </c>
      <c r="B77" s="160" t="s">
        <v>283</v>
      </c>
      <c r="C77" s="159">
        <f t="shared" si="17"/>
        <v>1674</v>
      </c>
      <c r="D77" s="159"/>
      <c r="E77" s="159"/>
      <c r="F77" s="159"/>
      <c r="G77" s="162">
        <v>1674</v>
      </c>
      <c r="H77" s="159"/>
      <c r="I77" s="159"/>
      <c r="J77" s="159"/>
      <c r="K77" s="171" t="s">
        <v>1082</v>
      </c>
      <c r="L77" s="172" t="s">
        <v>517</v>
      </c>
      <c r="M77" s="172" t="s">
        <v>514</v>
      </c>
      <c r="N77" s="172" t="s">
        <v>517</v>
      </c>
      <c r="O77" s="164" t="s">
        <v>2013</v>
      </c>
      <c r="P77" s="177"/>
      <c r="Q77" s="36"/>
      <c r="R77" s="177"/>
    </row>
    <row r="78" s="92" customFormat="1" customHeight="1" spans="1:18">
      <c r="A78" s="157" t="s">
        <v>518</v>
      </c>
      <c r="B78" s="160" t="s">
        <v>284</v>
      </c>
      <c r="C78" s="159">
        <f t="shared" si="17"/>
        <v>0</v>
      </c>
      <c r="D78" s="159"/>
      <c r="E78" s="159"/>
      <c r="F78" s="159"/>
      <c r="G78" s="159"/>
      <c r="H78" s="159"/>
      <c r="I78" s="159"/>
      <c r="J78" s="159"/>
      <c r="K78" s="171" t="s">
        <v>1082</v>
      </c>
      <c r="L78" s="172" t="s">
        <v>518</v>
      </c>
      <c r="M78" s="172" t="s">
        <v>514</v>
      </c>
      <c r="N78" s="172" t="s">
        <v>518</v>
      </c>
      <c r="O78" s="164" t="s">
        <v>2027</v>
      </c>
      <c r="P78" s="177"/>
      <c r="Q78" s="36"/>
      <c r="R78" s="177"/>
    </row>
    <row r="79" s="92" customFormat="1" customHeight="1" spans="1:18">
      <c r="A79" s="157" t="s">
        <v>519</v>
      </c>
      <c r="B79" s="160" t="s">
        <v>285</v>
      </c>
      <c r="C79" s="159">
        <f t="shared" si="17"/>
        <v>0</v>
      </c>
      <c r="D79" s="159"/>
      <c r="E79" s="159"/>
      <c r="F79" s="159"/>
      <c r="G79" s="159"/>
      <c r="H79" s="159"/>
      <c r="I79" s="159"/>
      <c r="J79" s="159"/>
      <c r="K79" s="171" t="s">
        <v>1082</v>
      </c>
      <c r="L79" s="172" t="s">
        <v>519</v>
      </c>
      <c r="M79" s="172" t="s">
        <v>514</v>
      </c>
      <c r="N79" s="172" t="s">
        <v>519</v>
      </c>
      <c r="O79" s="164" t="s">
        <v>2038</v>
      </c>
      <c r="P79" s="177"/>
      <c r="Q79" s="36"/>
      <c r="R79" s="177"/>
    </row>
    <row r="80" s="92" customFormat="1" customHeight="1" spans="1:18">
      <c r="A80" s="157" t="s">
        <v>520</v>
      </c>
      <c r="B80" s="160" t="s">
        <v>286</v>
      </c>
      <c r="C80" s="159">
        <f t="shared" si="17"/>
        <v>0</v>
      </c>
      <c r="D80" s="159"/>
      <c r="E80" s="159"/>
      <c r="F80" s="159"/>
      <c r="G80" s="159"/>
      <c r="H80" s="159"/>
      <c r="I80" s="159"/>
      <c r="J80" s="159"/>
      <c r="K80" s="171" t="s">
        <v>1082</v>
      </c>
      <c r="L80" s="172" t="s">
        <v>520</v>
      </c>
      <c r="M80" s="172" t="s">
        <v>514</v>
      </c>
      <c r="N80" s="172" t="s">
        <v>520</v>
      </c>
      <c r="O80" s="164" t="s">
        <v>2049</v>
      </c>
      <c r="P80" s="177"/>
      <c r="Q80" s="36"/>
      <c r="R80" s="177"/>
    </row>
    <row r="81" s="92" customFormat="1" customHeight="1" spans="1:18">
      <c r="A81" s="157" t="s">
        <v>521</v>
      </c>
      <c r="B81" s="158" t="s">
        <v>287</v>
      </c>
      <c r="C81" s="159">
        <f t="shared" si="17"/>
        <v>137</v>
      </c>
      <c r="D81" s="159">
        <v>80</v>
      </c>
      <c r="E81" s="159"/>
      <c r="F81" s="159">
        <v>57</v>
      </c>
      <c r="G81" s="159"/>
      <c r="H81" s="159"/>
      <c r="I81" s="159"/>
      <c r="J81" s="159"/>
      <c r="K81" s="171" t="s">
        <v>1082</v>
      </c>
      <c r="L81" s="172" t="s">
        <v>521</v>
      </c>
      <c r="M81" s="172" t="s">
        <v>514</v>
      </c>
      <c r="N81" s="172" t="s">
        <v>521</v>
      </c>
      <c r="O81" s="164" t="s">
        <v>2062</v>
      </c>
      <c r="P81" s="177"/>
      <c r="Q81" s="36"/>
      <c r="R81" s="177"/>
    </row>
    <row r="82" s="92" customFormat="1" customHeight="1" spans="1:18">
      <c r="A82" s="157" t="s">
        <v>522</v>
      </c>
      <c r="B82" s="158" t="s">
        <v>288</v>
      </c>
      <c r="C82" s="159">
        <f t="shared" si="17"/>
        <v>0</v>
      </c>
      <c r="D82" s="159"/>
      <c r="E82" s="159"/>
      <c r="F82" s="159"/>
      <c r="G82" s="159"/>
      <c r="H82" s="159"/>
      <c r="I82" s="159"/>
      <c r="J82" s="159"/>
      <c r="K82" s="171" t="s">
        <v>1082</v>
      </c>
      <c r="L82" s="172" t="s">
        <v>522</v>
      </c>
      <c r="M82" s="172" t="s">
        <v>514</v>
      </c>
      <c r="N82" s="172" t="s">
        <v>522</v>
      </c>
      <c r="O82" s="164" t="s">
        <v>2079</v>
      </c>
      <c r="P82" s="177"/>
      <c r="Q82" s="36"/>
      <c r="R82" s="177"/>
    </row>
    <row r="83" s="92" customFormat="1" customHeight="1" spans="1:18">
      <c r="A83" s="157" t="s">
        <v>523</v>
      </c>
      <c r="B83" s="161" t="s">
        <v>289</v>
      </c>
      <c r="C83" s="159">
        <f t="shared" si="17"/>
        <v>0</v>
      </c>
      <c r="D83" s="159"/>
      <c r="E83" s="159"/>
      <c r="F83" s="159"/>
      <c r="G83" s="159"/>
      <c r="H83" s="159"/>
      <c r="I83" s="159"/>
      <c r="J83" s="159"/>
      <c r="K83" s="171" t="s">
        <v>1082</v>
      </c>
      <c r="L83" s="172" t="s">
        <v>523</v>
      </c>
      <c r="M83" s="172" t="s">
        <v>514</v>
      </c>
      <c r="N83" s="172" t="s">
        <v>523</v>
      </c>
      <c r="O83" s="164" t="s">
        <v>2089</v>
      </c>
      <c r="P83" s="177"/>
      <c r="Q83" s="36"/>
      <c r="R83" s="177"/>
    </row>
    <row r="84" s="92" customFormat="1" customHeight="1" spans="1:18">
      <c r="A84" s="157" t="s">
        <v>524</v>
      </c>
      <c r="B84" s="158" t="s">
        <v>290</v>
      </c>
      <c r="C84" s="159">
        <f t="shared" si="17"/>
        <v>3</v>
      </c>
      <c r="D84" s="159"/>
      <c r="E84" s="159"/>
      <c r="F84" s="159"/>
      <c r="G84" s="162">
        <v>3</v>
      </c>
      <c r="H84" s="159"/>
      <c r="I84" s="159"/>
      <c r="J84" s="159"/>
      <c r="K84" s="171" t="s">
        <v>1082</v>
      </c>
      <c r="L84" s="172" t="s">
        <v>524</v>
      </c>
      <c r="M84" s="172" t="s">
        <v>514</v>
      </c>
      <c r="N84" s="172" t="s">
        <v>524</v>
      </c>
      <c r="O84" s="164" t="s">
        <v>2099</v>
      </c>
      <c r="P84" s="177"/>
      <c r="Q84" s="36"/>
      <c r="R84" s="177"/>
    </row>
    <row r="85" s="93" customFormat="1" customHeight="1" spans="1:18">
      <c r="A85" s="154" t="s">
        <v>525</v>
      </c>
      <c r="B85" s="155" t="s">
        <v>291</v>
      </c>
      <c r="C85" s="156">
        <f t="shared" ref="C85:J85" si="18">SUM(C86:C91)</f>
        <v>4949</v>
      </c>
      <c r="D85" s="156">
        <f t="shared" si="18"/>
        <v>1340</v>
      </c>
      <c r="E85" s="156">
        <f t="shared" si="18"/>
        <v>0</v>
      </c>
      <c r="F85" s="156">
        <f t="shared" si="18"/>
        <v>3487</v>
      </c>
      <c r="G85" s="156">
        <f t="shared" si="18"/>
        <v>28</v>
      </c>
      <c r="H85" s="156">
        <f t="shared" si="18"/>
        <v>0</v>
      </c>
      <c r="I85" s="156">
        <f t="shared" si="18"/>
        <v>0</v>
      </c>
      <c r="J85" s="156">
        <f t="shared" si="18"/>
        <v>94</v>
      </c>
      <c r="K85" s="173" t="s">
        <v>1081</v>
      </c>
      <c r="L85" s="174">
        <v>207</v>
      </c>
      <c r="M85" s="174">
        <v>207</v>
      </c>
      <c r="N85" s="174">
        <f t="shared" ref="N85:R85" si="19">SUM(N86:N91)</f>
        <v>0</v>
      </c>
      <c r="O85" s="175" t="s">
        <v>2111</v>
      </c>
      <c r="P85" s="176">
        <f t="shared" si="19"/>
        <v>0</v>
      </c>
      <c r="Q85" s="156">
        <f t="shared" si="19"/>
        <v>0</v>
      </c>
      <c r="R85" s="178">
        <f t="shared" si="19"/>
        <v>0</v>
      </c>
    </row>
    <row r="86" s="92" customFormat="1" customHeight="1" spans="1:18">
      <c r="A86" s="157" t="s">
        <v>526</v>
      </c>
      <c r="B86" s="161" t="s">
        <v>292</v>
      </c>
      <c r="C86" s="159">
        <f t="shared" ref="C86:C91" si="20">SUM(D86:J86)</f>
        <v>4165</v>
      </c>
      <c r="D86" s="159">
        <v>865</v>
      </c>
      <c r="E86" s="159"/>
      <c r="F86" s="159">
        <v>3206</v>
      </c>
      <c r="G86" s="159"/>
      <c r="H86" s="159"/>
      <c r="I86" s="159"/>
      <c r="J86" s="159">
        <v>94</v>
      </c>
      <c r="K86" s="171" t="s">
        <v>1082</v>
      </c>
      <c r="L86" s="172" t="s">
        <v>526</v>
      </c>
      <c r="M86" s="172" t="s">
        <v>525</v>
      </c>
      <c r="N86" s="172" t="s">
        <v>526</v>
      </c>
      <c r="O86" s="164" t="s">
        <v>2112</v>
      </c>
      <c r="P86" s="177"/>
      <c r="Q86" s="36"/>
      <c r="R86" s="177"/>
    </row>
    <row r="87" s="92" customFormat="1" customHeight="1" spans="1:18">
      <c r="A87" s="157" t="s">
        <v>527</v>
      </c>
      <c r="B87" s="161" t="s">
        <v>293</v>
      </c>
      <c r="C87" s="159">
        <f t="shared" si="20"/>
        <v>183</v>
      </c>
      <c r="D87" s="159"/>
      <c r="E87" s="159"/>
      <c r="F87" s="159">
        <v>155</v>
      </c>
      <c r="G87" s="162">
        <v>28</v>
      </c>
      <c r="H87" s="159"/>
      <c r="I87" s="159"/>
      <c r="J87" s="159"/>
      <c r="K87" s="171" t="s">
        <v>1082</v>
      </c>
      <c r="L87" s="172" t="s">
        <v>527</v>
      </c>
      <c r="M87" s="172" t="s">
        <v>525</v>
      </c>
      <c r="N87" s="172" t="s">
        <v>527</v>
      </c>
      <c r="O87" s="164" t="s">
        <v>2152</v>
      </c>
      <c r="P87" s="177"/>
      <c r="Q87" s="36"/>
      <c r="R87" s="177"/>
    </row>
    <row r="88" s="92" customFormat="1" customHeight="1" spans="1:18">
      <c r="A88" s="157" t="s">
        <v>528</v>
      </c>
      <c r="B88" s="161" t="s">
        <v>294</v>
      </c>
      <c r="C88" s="159">
        <f t="shared" si="20"/>
        <v>24</v>
      </c>
      <c r="D88" s="159">
        <v>24</v>
      </c>
      <c r="E88" s="159"/>
      <c r="F88" s="159"/>
      <c r="G88" s="159"/>
      <c r="H88" s="159"/>
      <c r="I88" s="159"/>
      <c r="J88" s="159"/>
      <c r="K88" s="171" t="s">
        <v>1082</v>
      </c>
      <c r="L88" s="172" t="s">
        <v>528</v>
      </c>
      <c r="M88" s="172" t="s">
        <v>525</v>
      </c>
      <c r="N88" s="172" t="s">
        <v>528</v>
      </c>
      <c r="O88" s="164" t="s">
        <v>2168</v>
      </c>
      <c r="P88" s="177"/>
      <c r="Q88" s="36"/>
      <c r="R88" s="177"/>
    </row>
    <row r="89" s="92" customFormat="1" customHeight="1" spans="1:18">
      <c r="A89" s="157" t="s">
        <v>529</v>
      </c>
      <c r="B89" s="161" t="s">
        <v>295</v>
      </c>
      <c r="C89" s="159">
        <f t="shared" si="20"/>
        <v>26</v>
      </c>
      <c r="D89" s="159"/>
      <c r="E89" s="159"/>
      <c r="F89" s="159">
        <v>26</v>
      </c>
      <c r="G89" s="159"/>
      <c r="H89" s="159"/>
      <c r="I89" s="159"/>
      <c r="J89" s="159"/>
      <c r="K89" s="171" t="s">
        <v>1082</v>
      </c>
      <c r="L89" s="172" t="s">
        <v>529</v>
      </c>
      <c r="M89" s="172" t="s">
        <v>525</v>
      </c>
      <c r="N89" s="172" t="s">
        <v>529</v>
      </c>
      <c r="O89" s="164" t="s">
        <v>2193</v>
      </c>
      <c r="P89" s="177"/>
      <c r="Q89" s="36"/>
      <c r="R89" s="177"/>
    </row>
    <row r="90" s="92" customFormat="1" customHeight="1" spans="1:18">
      <c r="A90" s="157" t="s">
        <v>530</v>
      </c>
      <c r="B90" s="161" t="s">
        <v>296</v>
      </c>
      <c r="C90" s="159">
        <f t="shared" si="20"/>
        <v>536</v>
      </c>
      <c r="D90" s="159">
        <v>451</v>
      </c>
      <c r="E90" s="159"/>
      <c r="F90" s="159">
        <v>85</v>
      </c>
      <c r="G90" s="159"/>
      <c r="H90" s="159"/>
      <c r="I90" s="159"/>
      <c r="J90" s="159"/>
      <c r="K90" s="171" t="s">
        <v>1082</v>
      </c>
      <c r="L90" s="172" t="s">
        <v>530</v>
      </c>
      <c r="M90" s="172" t="s">
        <v>525</v>
      </c>
      <c r="N90" s="172" t="s">
        <v>530</v>
      </c>
      <c r="O90" s="164" t="s">
        <v>2212</v>
      </c>
      <c r="P90" s="177"/>
      <c r="Q90" s="36"/>
      <c r="R90" s="177"/>
    </row>
    <row r="91" s="92" customFormat="1" customHeight="1" spans="1:18">
      <c r="A91" s="157" t="s">
        <v>531</v>
      </c>
      <c r="B91" s="161" t="s">
        <v>297</v>
      </c>
      <c r="C91" s="159">
        <f t="shared" si="20"/>
        <v>15</v>
      </c>
      <c r="D91" s="159"/>
      <c r="E91" s="159"/>
      <c r="F91" s="159">
        <v>15</v>
      </c>
      <c r="G91" s="159"/>
      <c r="H91" s="159"/>
      <c r="I91" s="159"/>
      <c r="J91" s="159"/>
      <c r="K91" s="171" t="s">
        <v>1082</v>
      </c>
      <c r="L91" s="172" t="s">
        <v>531</v>
      </c>
      <c r="M91" s="172" t="s">
        <v>525</v>
      </c>
      <c r="N91" s="172" t="s">
        <v>531</v>
      </c>
      <c r="O91" s="164" t="s">
        <v>2228</v>
      </c>
      <c r="P91" s="177"/>
      <c r="Q91" s="36"/>
      <c r="R91" s="177"/>
    </row>
    <row r="92" s="93" customFormat="1" customHeight="1" spans="1:18">
      <c r="A92" s="154" t="s">
        <v>532</v>
      </c>
      <c r="B92" s="155" t="s">
        <v>298</v>
      </c>
      <c r="C92" s="156">
        <f t="shared" ref="C92:J92" si="21">SUM(C93:C113)</f>
        <v>65144</v>
      </c>
      <c r="D92" s="156">
        <f t="shared" si="21"/>
        <v>36887</v>
      </c>
      <c r="E92" s="156">
        <f t="shared" si="21"/>
        <v>28</v>
      </c>
      <c r="F92" s="156">
        <f t="shared" si="21"/>
        <v>6075</v>
      </c>
      <c r="G92" s="156">
        <f t="shared" si="21"/>
        <v>0</v>
      </c>
      <c r="H92" s="156">
        <f t="shared" si="21"/>
        <v>0</v>
      </c>
      <c r="I92" s="156">
        <f t="shared" si="21"/>
        <v>0</v>
      </c>
      <c r="J92" s="156">
        <f t="shared" si="21"/>
        <v>22154</v>
      </c>
      <c r="K92" s="173" t="s">
        <v>1081</v>
      </c>
      <c r="L92" s="174">
        <v>208</v>
      </c>
      <c r="M92" s="174">
        <v>208</v>
      </c>
      <c r="N92" s="174">
        <f t="shared" ref="N92:R92" si="22">SUM(N93:N113)</f>
        <v>0</v>
      </c>
      <c r="O92" s="175" t="s">
        <v>2234</v>
      </c>
      <c r="P92" s="176">
        <f t="shared" si="22"/>
        <v>0</v>
      </c>
      <c r="Q92" s="156">
        <f t="shared" si="22"/>
        <v>0</v>
      </c>
      <c r="R92" s="178">
        <f t="shared" si="22"/>
        <v>0</v>
      </c>
    </row>
    <row r="93" s="92" customFormat="1" customHeight="1" spans="1:18">
      <c r="A93" s="157" t="s">
        <v>533</v>
      </c>
      <c r="B93" s="161" t="s">
        <v>299</v>
      </c>
      <c r="C93" s="159">
        <f t="shared" ref="C93:C113" si="23">SUM(D93:J93)</f>
        <v>4296</v>
      </c>
      <c r="D93" s="159">
        <v>4233</v>
      </c>
      <c r="E93" s="159"/>
      <c r="F93" s="159">
        <v>63</v>
      </c>
      <c r="G93" s="159"/>
      <c r="H93" s="159"/>
      <c r="I93" s="159"/>
      <c r="J93" s="159"/>
      <c r="K93" s="171" t="s">
        <v>1082</v>
      </c>
      <c r="L93" s="172" t="s">
        <v>533</v>
      </c>
      <c r="M93" s="172" t="s">
        <v>532</v>
      </c>
      <c r="N93" s="172" t="s">
        <v>533</v>
      </c>
      <c r="O93" s="164" t="s">
        <v>2235</v>
      </c>
      <c r="P93" s="177"/>
      <c r="Q93" s="36"/>
      <c r="R93" s="177"/>
    </row>
    <row r="94" s="92" customFormat="1" customHeight="1" spans="1:18">
      <c r="A94" s="157" t="s">
        <v>534</v>
      </c>
      <c r="B94" s="161" t="s">
        <v>300</v>
      </c>
      <c r="C94" s="159">
        <f t="shared" si="23"/>
        <v>626</v>
      </c>
      <c r="D94" s="159">
        <v>356</v>
      </c>
      <c r="E94" s="159">
        <v>25</v>
      </c>
      <c r="F94" s="159">
        <v>245</v>
      </c>
      <c r="G94" s="159"/>
      <c r="H94" s="159"/>
      <c r="I94" s="159"/>
      <c r="J94" s="159"/>
      <c r="K94" s="171" t="s">
        <v>1082</v>
      </c>
      <c r="L94" s="172" t="s">
        <v>534</v>
      </c>
      <c r="M94" s="172" t="s">
        <v>532</v>
      </c>
      <c r="N94" s="172" t="s">
        <v>534</v>
      </c>
      <c r="O94" s="164" t="s">
        <v>2280</v>
      </c>
      <c r="P94" s="177"/>
      <c r="Q94" s="36"/>
      <c r="R94" s="177"/>
    </row>
    <row r="95" s="92" customFormat="1" customHeight="1" spans="1:18">
      <c r="A95" s="157" t="s">
        <v>535</v>
      </c>
      <c r="B95" s="161" t="s">
        <v>301</v>
      </c>
      <c r="C95" s="159">
        <f t="shared" si="23"/>
        <v>0</v>
      </c>
      <c r="D95" s="159"/>
      <c r="E95" s="159"/>
      <c r="F95" s="159"/>
      <c r="G95" s="159"/>
      <c r="H95" s="159"/>
      <c r="I95" s="159"/>
      <c r="J95" s="159"/>
      <c r="K95" s="171" t="s">
        <v>1082</v>
      </c>
      <c r="L95" s="172" t="s">
        <v>535</v>
      </c>
      <c r="M95" s="172" t="s">
        <v>532</v>
      </c>
      <c r="N95" s="172" t="s">
        <v>535</v>
      </c>
      <c r="O95" s="164" t="s">
        <v>2299</v>
      </c>
      <c r="P95" s="177"/>
      <c r="Q95" s="36"/>
      <c r="R95" s="177"/>
    </row>
    <row r="96" s="92" customFormat="1" customHeight="1" spans="1:18">
      <c r="A96" s="157" t="s">
        <v>536</v>
      </c>
      <c r="B96" s="161" t="s">
        <v>537</v>
      </c>
      <c r="C96" s="159">
        <f t="shared" si="23"/>
        <v>28797</v>
      </c>
      <c r="D96" s="159">
        <v>26324</v>
      </c>
      <c r="E96" s="159"/>
      <c r="F96" s="159"/>
      <c r="G96" s="159"/>
      <c r="H96" s="159"/>
      <c r="I96" s="159"/>
      <c r="J96" s="159">
        <v>2473</v>
      </c>
      <c r="K96" s="171" t="s">
        <v>1082</v>
      </c>
      <c r="L96" s="172" t="s">
        <v>536</v>
      </c>
      <c r="M96" s="172" t="s">
        <v>532</v>
      </c>
      <c r="N96" s="172" t="s">
        <v>536</v>
      </c>
      <c r="O96" s="164" t="s">
        <v>4169</v>
      </c>
      <c r="P96" s="177"/>
      <c r="Q96" s="36"/>
      <c r="R96" s="177"/>
    </row>
    <row r="97" s="92" customFormat="1" customHeight="1" spans="1:18">
      <c r="A97" s="157" t="s">
        <v>538</v>
      </c>
      <c r="B97" s="161" t="s">
        <v>303</v>
      </c>
      <c r="C97" s="159">
        <f t="shared" si="23"/>
        <v>0</v>
      </c>
      <c r="D97" s="159"/>
      <c r="E97" s="159"/>
      <c r="F97" s="159"/>
      <c r="G97" s="159"/>
      <c r="H97" s="159"/>
      <c r="I97" s="159"/>
      <c r="J97" s="159"/>
      <c r="K97" s="171" t="s">
        <v>1082</v>
      </c>
      <c r="L97" s="172" t="s">
        <v>538</v>
      </c>
      <c r="M97" s="172" t="s">
        <v>532</v>
      </c>
      <c r="N97" s="172" t="s">
        <v>538</v>
      </c>
      <c r="O97" s="164" t="s">
        <v>2328</v>
      </c>
      <c r="P97" s="177"/>
      <c r="Q97" s="36"/>
      <c r="R97" s="177"/>
    </row>
    <row r="98" s="92" customFormat="1" customHeight="1" spans="1:18">
      <c r="A98" s="157" t="s">
        <v>539</v>
      </c>
      <c r="B98" s="161" t="s">
        <v>304</v>
      </c>
      <c r="C98" s="159">
        <f t="shared" si="23"/>
        <v>1744</v>
      </c>
      <c r="D98" s="159"/>
      <c r="E98" s="159"/>
      <c r="F98" s="159">
        <v>556</v>
      </c>
      <c r="G98" s="159"/>
      <c r="H98" s="159"/>
      <c r="I98" s="159"/>
      <c r="J98" s="159">
        <v>1188</v>
      </c>
      <c r="K98" s="171" t="s">
        <v>1082</v>
      </c>
      <c r="L98" s="172" t="s">
        <v>539</v>
      </c>
      <c r="M98" s="172" t="s">
        <v>532</v>
      </c>
      <c r="N98" s="172" t="s">
        <v>539</v>
      </c>
      <c r="O98" s="164" t="s">
        <v>2338</v>
      </c>
      <c r="P98" s="177"/>
      <c r="Q98" s="36"/>
      <c r="R98" s="177"/>
    </row>
    <row r="99" s="92" customFormat="1" customHeight="1" spans="1:18">
      <c r="A99" s="157" t="s">
        <v>540</v>
      </c>
      <c r="B99" s="161" t="s">
        <v>305</v>
      </c>
      <c r="C99" s="159">
        <f t="shared" si="23"/>
        <v>2176</v>
      </c>
      <c r="D99" s="159">
        <v>377</v>
      </c>
      <c r="E99" s="159"/>
      <c r="F99" s="159">
        <v>49</v>
      </c>
      <c r="G99" s="159"/>
      <c r="H99" s="159"/>
      <c r="I99" s="159"/>
      <c r="J99" s="159">
        <v>1750</v>
      </c>
      <c r="K99" s="171" t="s">
        <v>1082</v>
      </c>
      <c r="L99" s="172" t="s">
        <v>540</v>
      </c>
      <c r="M99" s="172" t="s">
        <v>532</v>
      </c>
      <c r="N99" s="172" t="s">
        <v>540</v>
      </c>
      <c r="O99" s="164" t="s">
        <v>2366</v>
      </c>
      <c r="P99" s="177"/>
      <c r="Q99" s="36"/>
      <c r="R99" s="177"/>
    </row>
    <row r="100" s="92" customFormat="1" customHeight="1" spans="1:18">
      <c r="A100" s="157" t="s">
        <v>541</v>
      </c>
      <c r="B100" s="161" t="s">
        <v>306</v>
      </c>
      <c r="C100" s="159">
        <f t="shared" si="23"/>
        <v>298</v>
      </c>
      <c r="D100" s="159">
        <v>89</v>
      </c>
      <c r="E100" s="159"/>
      <c r="F100" s="159">
        <v>58</v>
      </c>
      <c r="G100" s="159"/>
      <c r="H100" s="159"/>
      <c r="I100" s="159"/>
      <c r="J100" s="159">
        <v>151</v>
      </c>
      <c r="K100" s="171" t="s">
        <v>1082</v>
      </c>
      <c r="L100" s="172" t="s">
        <v>541</v>
      </c>
      <c r="M100" s="172" t="s">
        <v>532</v>
      </c>
      <c r="N100" s="172" t="s">
        <v>541</v>
      </c>
      <c r="O100" s="179" t="s">
        <v>2391</v>
      </c>
      <c r="P100" s="177"/>
      <c r="Q100" s="36"/>
      <c r="R100" s="177"/>
    </row>
    <row r="101" s="92" customFormat="1" customHeight="1" spans="1:18">
      <c r="A101" s="157" t="s">
        <v>542</v>
      </c>
      <c r="B101" s="161" t="s">
        <v>307</v>
      </c>
      <c r="C101" s="159">
        <f t="shared" si="23"/>
        <v>1092</v>
      </c>
      <c r="D101" s="159">
        <v>844</v>
      </c>
      <c r="E101" s="159">
        <v>2</v>
      </c>
      <c r="F101" s="159">
        <v>108</v>
      </c>
      <c r="G101" s="159"/>
      <c r="H101" s="159"/>
      <c r="I101" s="159"/>
      <c r="J101" s="159">
        <v>138</v>
      </c>
      <c r="K101" s="171" t="s">
        <v>1082</v>
      </c>
      <c r="L101" s="172" t="s">
        <v>542</v>
      </c>
      <c r="M101" s="172" t="s">
        <v>532</v>
      </c>
      <c r="N101" s="172" t="s">
        <v>542</v>
      </c>
      <c r="O101" s="164" t="s">
        <v>2410</v>
      </c>
      <c r="P101" s="177"/>
      <c r="Q101" s="36"/>
      <c r="R101" s="177"/>
    </row>
    <row r="102" s="92" customFormat="1" customHeight="1" spans="1:18">
      <c r="A102" s="157" t="s">
        <v>543</v>
      </c>
      <c r="B102" s="161" t="s">
        <v>308</v>
      </c>
      <c r="C102" s="159">
        <f t="shared" si="23"/>
        <v>1853</v>
      </c>
      <c r="D102" s="159">
        <v>399</v>
      </c>
      <c r="E102" s="159"/>
      <c r="F102" s="159">
        <v>273</v>
      </c>
      <c r="G102" s="159"/>
      <c r="H102" s="159"/>
      <c r="I102" s="159"/>
      <c r="J102" s="159">
        <v>1181</v>
      </c>
      <c r="K102" s="171" t="s">
        <v>1082</v>
      </c>
      <c r="L102" s="172" t="s">
        <v>543</v>
      </c>
      <c r="M102" s="172" t="s">
        <v>532</v>
      </c>
      <c r="N102" s="172" t="s">
        <v>543</v>
      </c>
      <c r="O102" s="164" t="s">
        <v>2432</v>
      </c>
      <c r="P102" s="177"/>
      <c r="Q102" s="36"/>
      <c r="R102" s="177"/>
    </row>
    <row r="103" s="92" customFormat="1" customHeight="1" spans="1:18">
      <c r="A103" s="157" t="s">
        <v>544</v>
      </c>
      <c r="B103" s="161" t="s">
        <v>309</v>
      </c>
      <c r="C103" s="159">
        <f t="shared" si="23"/>
        <v>39</v>
      </c>
      <c r="D103" s="159">
        <v>38</v>
      </c>
      <c r="E103" s="159">
        <v>1</v>
      </c>
      <c r="F103" s="159"/>
      <c r="G103" s="159"/>
      <c r="H103" s="159"/>
      <c r="I103" s="159"/>
      <c r="J103" s="159"/>
      <c r="K103" s="171" t="s">
        <v>1082</v>
      </c>
      <c r="L103" s="172" t="s">
        <v>544</v>
      </c>
      <c r="M103" s="172" t="s">
        <v>532</v>
      </c>
      <c r="N103" s="172" t="s">
        <v>544</v>
      </c>
      <c r="O103" s="164" t="s">
        <v>2451</v>
      </c>
      <c r="P103" s="177"/>
      <c r="Q103" s="36"/>
      <c r="R103" s="177"/>
    </row>
    <row r="104" s="92" customFormat="1" customHeight="1" spans="1:18">
      <c r="A104" s="157" t="s">
        <v>545</v>
      </c>
      <c r="B104" s="161" t="s">
        <v>310</v>
      </c>
      <c r="C104" s="159">
        <f t="shared" si="23"/>
        <v>6884</v>
      </c>
      <c r="D104" s="159"/>
      <c r="E104" s="159"/>
      <c r="F104" s="159"/>
      <c r="G104" s="159"/>
      <c r="H104" s="159"/>
      <c r="I104" s="159"/>
      <c r="J104" s="159">
        <v>6884</v>
      </c>
      <c r="K104" s="171" t="s">
        <v>1082</v>
      </c>
      <c r="L104" s="172" t="s">
        <v>545</v>
      </c>
      <c r="M104" s="172" t="s">
        <v>532</v>
      </c>
      <c r="N104" s="172" t="s">
        <v>545</v>
      </c>
      <c r="O104" s="164" t="s">
        <v>2459</v>
      </c>
      <c r="P104" s="177"/>
      <c r="Q104" s="36"/>
      <c r="R104" s="177"/>
    </row>
    <row r="105" s="92" customFormat="1" customHeight="1" spans="1:18">
      <c r="A105" s="157" t="s">
        <v>546</v>
      </c>
      <c r="B105" s="161" t="s">
        <v>311</v>
      </c>
      <c r="C105" s="159">
        <f t="shared" si="23"/>
        <v>186</v>
      </c>
      <c r="D105" s="159"/>
      <c r="E105" s="159"/>
      <c r="F105" s="159">
        <v>46</v>
      </c>
      <c r="G105" s="159"/>
      <c r="H105" s="159"/>
      <c r="I105" s="159"/>
      <c r="J105" s="159">
        <v>140</v>
      </c>
      <c r="K105" s="171" t="s">
        <v>1082</v>
      </c>
      <c r="L105" s="172" t="s">
        <v>546</v>
      </c>
      <c r="M105" s="172" t="s">
        <v>532</v>
      </c>
      <c r="N105" s="172" t="s">
        <v>546</v>
      </c>
      <c r="O105" s="164" t="s">
        <v>2466</v>
      </c>
      <c r="P105" s="177"/>
      <c r="Q105" s="36"/>
      <c r="R105" s="177"/>
    </row>
    <row r="106" s="92" customFormat="1" customHeight="1" spans="1:18">
      <c r="A106" s="157" t="s">
        <v>547</v>
      </c>
      <c r="B106" s="161" t="s">
        <v>312</v>
      </c>
      <c r="C106" s="159">
        <f t="shared" si="23"/>
        <v>1800</v>
      </c>
      <c r="D106" s="159"/>
      <c r="E106" s="159"/>
      <c r="F106" s="159"/>
      <c r="G106" s="159"/>
      <c r="H106" s="159"/>
      <c r="I106" s="159"/>
      <c r="J106" s="159">
        <v>1800</v>
      </c>
      <c r="K106" s="171" t="s">
        <v>1082</v>
      </c>
      <c r="L106" s="172" t="s">
        <v>547</v>
      </c>
      <c r="M106" s="172" t="s">
        <v>532</v>
      </c>
      <c r="N106" s="172" t="s">
        <v>547</v>
      </c>
      <c r="O106" s="164" t="s">
        <v>2473</v>
      </c>
      <c r="P106" s="177"/>
      <c r="Q106" s="36"/>
      <c r="R106" s="177"/>
    </row>
    <row r="107" s="92" customFormat="1" customHeight="1" spans="1:18">
      <c r="A107" s="157" t="s">
        <v>548</v>
      </c>
      <c r="B107" s="161" t="s">
        <v>313</v>
      </c>
      <c r="C107" s="159">
        <f t="shared" si="23"/>
        <v>0</v>
      </c>
      <c r="D107" s="159"/>
      <c r="E107" s="159"/>
      <c r="F107" s="159"/>
      <c r="G107" s="159"/>
      <c r="H107" s="159"/>
      <c r="I107" s="159"/>
      <c r="J107" s="159"/>
      <c r="K107" s="171" t="s">
        <v>1082</v>
      </c>
      <c r="L107" s="172" t="s">
        <v>548</v>
      </c>
      <c r="M107" s="172" t="s">
        <v>532</v>
      </c>
      <c r="N107" s="172" t="s">
        <v>548</v>
      </c>
      <c r="O107" s="164" t="s">
        <v>2480</v>
      </c>
      <c r="P107" s="177"/>
      <c r="Q107" s="36"/>
      <c r="R107" s="177"/>
    </row>
    <row r="108" s="92" customFormat="1" customHeight="1" spans="1:18">
      <c r="A108" s="157" t="s">
        <v>549</v>
      </c>
      <c r="B108" s="161" t="s">
        <v>314</v>
      </c>
      <c r="C108" s="159">
        <f t="shared" si="23"/>
        <v>8</v>
      </c>
      <c r="D108" s="159">
        <v>8</v>
      </c>
      <c r="E108" s="159"/>
      <c r="F108" s="159"/>
      <c r="G108" s="159"/>
      <c r="H108" s="159"/>
      <c r="I108" s="159"/>
      <c r="J108" s="159"/>
      <c r="K108" s="171" t="s">
        <v>1082</v>
      </c>
      <c r="L108" s="172" t="s">
        <v>549</v>
      </c>
      <c r="M108" s="172" t="s">
        <v>532</v>
      </c>
      <c r="N108" s="172" t="s">
        <v>549</v>
      </c>
      <c r="O108" s="164" t="s">
        <v>2487</v>
      </c>
      <c r="P108" s="177"/>
      <c r="Q108" s="36"/>
      <c r="R108" s="177"/>
    </row>
    <row r="109" s="92" customFormat="1" customHeight="1" spans="1:18">
      <c r="A109" s="157" t="s">
        <v>550</v>
      </c>
      <c r="B109" s="161" t="s">
        <v>315</v>
      </c>
      <c r="C109" s="159">
        <f t="shared" si="23"/>
        <v>11114</v>
      </c>
      <c r="D109" s="159">
        <v>781</v>
      </c>
      <c r="E109" s="159"/>
      <c r="F109" s="159">
        <v>3901</v>
      </c>
      <c r="G109" s="159"/>
      <c r="H109" s="159"/>
      <c r="I109" s="159"/>
      <c r="J109" s="159">
        <v>6432</v>
      </c>
      <c r="K109" s="171" t="s">
        <v>1082</v>
      </c>
      <c r="L109" s="172" t="s">
        <v>550</v>
      </c>
      <c r="M109" s="172" t="s">
        <v>532</v>
      </c>
      <c r="N109" s="172" t="s">
        <v>550</v>
      </c>
      <c r="O109" s="179" t="s">
        <v>2494</v>
      </c>
      <c r="P109" s="177"/>
      <c r="Q109" s="36"/>
      <c r="R109" s="177"/>
    </row>
    <row r="110" s="92" customFormat="1" customHeight="1" spans="1:18">
      <c r="A110" s="157" t="s">
        <v>551</v>
      </c>
      <c r="B110" s="161" t="s">
        <v>316</v>
      </c>
      <c r="C110" s="159">
        <f t="shared" si="23"/>
        <v>0</v>
      </c>
      <c r="D110" s="159"/>
      <c r="E110" s="159"/>
      <c r="F110" s="159"/>
      <c r="G110" s="159"/>
      <c r="H110" s="159"/>
      <c r="I110" s="159"/>
      <c r="J110" s="159"/>
      <c r="K110" s="171" t="s">
        <v>1082</v>
      </c>
      <c r="L110" s="172" t="s">
        <v>551</v>
      </c>
      <c r="M110" s="172" t="s">
        <v>532</v>
      </c>
      <c r="N110" s="172" t="s">
        <v>551</v>
      </c>
      <c r="O110" s="179" t="s">
        <v>2504</v>
      </c>
      <c r="P110" s="177"/>
      <c r="Q110" s="36"/>
      <c r="R110" s="177"/>
    </row>
    <row r="111" s="92" customFormat="1" customHeight="1" spans="1:18">
      <c r="A111" s="157" t="s">
        <v>552</v>
      </c>
      <c r="B111" s="161" t="s">
        <v>317</v>
      </c>
      <c r="C111" s="159">
        <f t="shared" si="23"/>
        <v>288</v>
      </c>
      <c r="D111" s="159">
        <v>182</v>
      </c>
      <c r="E111" s="159"/>
      <c r="F111" s="159">
        <v>106</v>
      </c>
      <c r="G111" s="159"/>
      <c r="H111" s="159"/>
      <c r="I111" s="159"/>
      <c r="J111" s="159"/>
      <c r="K111" s="171" t="s">
        <v>1082</v>
      </c>
      <c r="L111" s="172" t="s">
        <v>552</v>
      </c>
      <c r="M111" s="172" t="s">
        <v>532</v>
      </c>
      <c r="N111" s="172" t="s">
        <v>552</v>
      </c>
      <c r="O111" s="164" t="s">
        <v>2514</v>
      </c>
      <c r="P111" s="177"/>
      <c r="Q111" s="36"/>
      <c r="R111" s="177"/>
    </row>
    <row r="112" s="92" customFormat="1" customHeight="1" spans="1:18">
      <c r="A112" s="157" t="s">
        <v>553</v>
      </c>
      <c r="B112" s="161" t="s">
        <v>554</v>
      </c>
      <c r="C112" s="159">
        <f t="shared" si="23"/>
        <v>2745</v>
      </c>
      <c r="D112" s="159">
        <v>2709</v>
      </c>
      <c r="E112" s="159"/>
      <c r="F112" s="159">
        <v>19</v>
      </c>
      <c r="G112" s="159"/>
      <c r="H112" s="159"/>
      <c r="I112" s="159"/>
      <c r="J112" s="159">
        <v>17</v>
      </c>
      <c r="K112" s="171" t="s">
        <v>1082</v>
      </c>
      <c r="L112" s="172" t="s">
        <v>553</v>
      </c>
      <c r="M112" s="172" t="s">
        <v>532</v>
      </c>
      <c r="N112" s="172" t="s">
        <v>553</v>
      </c>
      <c r="O112" s="164" t="s">
        <v>2529</v>
      </c>
      <c r="P112" s="177"/>
      <c r="Q112" s="36"/>
      <c r="R112" s="177"/>
    </row>
    <row r="113" s="92" customFormat="1" customHeight="1" spans="1:18">
      <c r="A113" s="157" t="s">
        <v>555</v>
      </c>
      <c r="B113" s="161" t="s">
        <v>319</v>
      </c>
      <c r="C113" s="159">
        <f t="shared" si="23"/>
        <v>1198</v>
      </c>
      <c r="D113" s="159">
        <v>547</v>
      </c>
      <c r="E113" s="159"/>
      <c r="F113" s="159">
        <v>651</v>
      </c>
      <c r="G113" s="159"/>
      <c r="H113" s="159"/>
      <c r="I113" s="159"/>
      <c r="J113" s="159"/>
      <c r="K113" s="171" t="s">
        <v>1082</v>
      </c>
      <c r="L113" s="172" t="s">
        <v>555</v>
      </c>
      <c r="M113" s="172" t="s">
        <v>532</v>
      </c>
      <c r="N113" s="172" t="s">
        <v>555</v>
      </c>
      <c r="O113" s="179" t="s">
        <v>2536</v>
      </c>
      <c r="P113" s="177"/>
      <c r="Q113" s="36"/>
      <c r="R113" s="177"/>
    </row>
    <row r="114" s="93" customFormat="1" customHeight="1" spans="1:18">
      <c r="A114" s="154" t="s">
        <v>556</v>
      </c>
      <c r="B114" s="155" t="s">
        <v>320</v>
      </c>
      <c r="C114" s="156">
        <f t="shared" ref="C114:J114" si="24">SUM(C115:C128)</f>
        <v>21790</v>
      </c>
      <c r="D114" s="156">
        <f t="shared" si="24"/>
        <v>13644</v>
      </c>
      <c r="E114" s="156">
        <f t="shared" si="24"/>
        <v>0</v>
      </c>
      <c r="F114" s="156">
        <f t="shared" si="24"/>
        <v>3380</v>
      </c>
      <c r="G114" s="156">
        <f t="shared" si="24"/>
        <v>0</v>
      </c>
      <c r="H114" s="156">
        <f t="shared" si="24"/>
        <v>0</v>
      </c>
      <c r="I114" s="156">
        <f t="shared" si="24"/>
        <v>0</v>
      </c>
      <c r="J114" s="156">
        <f t="shared" si="24"/>
        <v>4766</v>
      </c>
      <c r="K114" s="173" t="s">
        <v>1081</v>
      </c>
      <c r="L114" s="174">
        <v>210</v>
      </c>
      <c r="M114" s="174">
        <v>210</v>
      </c>
      <c r="N114" s="174">
        <f t="shared" ref="N114:R114" si="25">SUM(N115:N128)</f>
        <v>0</v>
      </c>
      <c r="O114" s="175" t="s">
        <v>2539</v>
      </c>
      <c r="P114" s="176">
        <f t="shared" si="25"/>
        <v>0</v>
      </c>
      <c r="Q114" s="156">
        <f t="shared" si="25"/>
        <v>0</v>
      </c>
      <c r="R114" s="178">
        <f t="shared" si="25"/>
        <v>0</v>
      </c>
    </row>
    <row r="115" s="92" customFormat="1" customHeight="1" spans="1:18">
      <c r="A115" s="157" t="s">
        <v>557</v>
      </c>
      <c r="B115" s="161" t="s">
        <v>321</v>
      </c>
      <c r="C115" s="159">
        <f t="shared" ref="C115:C128" si="26">SUM(D115:J115)</f>
        <v>551</v>
      </c>
      <c r="D115" s="159">
        <v>532</v>
      </c>
      <c r="E115" s="159"/>
      <c r="F115" s="159"/>
      <c r="G115" s="159"/>
      <c r="H115" s="159"/>
      <c r="I115" s="159"/>
      <c r="J115" s="159">
        <v>19</v>
      </c>
      <c r="K115" s="171" t="s">
        <v>1082</v>
      </c>
      <c r="L115" s="172" t="s">
        <v>557</v>
      </c>
      <c r="M115" s="172" t="s">
        <v>556</v>
      </c>
      <c r="N115" s="172" t="s">
        <v>557</v>
      </c>
      <c r="O115" s="164" t="s">
        <v>2540</v>
      </c>
      <c r="P115" s="177"/>
      <c r="Q115" s="36"/>
      <c r="R115" s="177"/>
    </row>
    <row r="116" s="92" customFormat="1" customHeight="1" spans="1:18">
      <c r="A116" s="157" t="s">
        <v>558</v>
      </c>
      <c r="B116" s="161" t="s">
        <v>322</v>
      </c>
      <c r="C116" s="159">
        <f t="shared" si="26"/>
        <v>2209</v>
      </c>
      <c r="D116" s="159">
        <v>1881</v>
      </c>
      <c r="E116" s="159"/>
      <c r="F116" s="159">
        <v>254</v>
      </c>
      <c r="G116" s="159"/>
      <c r="H116" s="159"/>
      <c r="I116" s="159"/>
      <c r="J116" s="159">
        <v>74</v>
      </c>
      <c r="K116" s="171" t="s">
        <v>1082</v>
      </c>
      <c r="L116" s="172" t="s">
        <v>558</v>
      </c>
      <c r="M116" s="172" t="s">
        <v>556</v>
      </c>
      <c r="N116" s="172" t="s">
        <v>558</v>
      </c>
      <c r="O116" s="164" t="s">
        <v>2547</v>
      </c>
      <c r="P116" s="177"/>
      <c r="Q116" s="36"/>
      <c r="R116" s="177"/>
    </row>
    <row r="117" s="92" customFormat="1" customHeight="1" spans="1:18">
      <c r="A117" s="157" t="s">
        <v>559</v>
      </c>
      <c r="B117" s="161" t="s">
        <v>323</v>
      </c>
      <c r="C117" s="159">
        <f t="shared" si="26"/>
        <v>4618</v>
      </c>
      <c r="D117" s="159">
        <v>3256</v>
      </c>
      <c r="E117" s="159"/>
      <c r="F117" s="159">
        <v>860</v>
      </c>
      <c r="G117" s="159"/>
      <c r="H117" s="159"/>
      <c r="I117" s="159"/>
      <c r="J117" s="159">
        <v>502</v>
      </c>
      <c r="K117" s="171" t="s">
        <v>1082</v>
      </c>
      <c r="L117" s="172" t="s">
        <v>559</v>
      </c>
      <c r="M117" s="172" t="s">
        <v>556</v>
      </c>
      <c r="N117" s="172" t="s">
        <v>559</v>
      </c>
      <c r="O117" s="164" t="s">
        <v>2590</v>
      </c>
      <c r="P117" s="177"/>
      <c r="Q117" s="36"/>
      <c r="R117" s="177"/>
    </row>
    <row r="118" s="92" customFormat="1" customHeight="1" spans="1:18">
      <c r="A118" s="157" t="s">
        <v>560</v>
      </c>
      <c r="B118" s="161" t="s">
        <v>324</v>
      </c>
      <c r="C118" s="159">
        <f t="shared" si="26"/>
        <v>2528</v>
      </c>
      <c r="D118" s="159">
        <v>1478</v>
      </c>
      <c r="E118" s="159"/>
      <c r="F118" s="159">
        <v>949</v>
      </c>
      <c r="G118" s="159"/>
      <c r="H118" s="159"/>
      <c r="I118" s="159"/>
      <c r="J118" s="159">
        <v>101</v>
      </c>
      <c r="K118" s="171" t="s">
        <v>1082</v>
      </c>
      <c r="L118" s="172" t="s">
        <v>560</v>
      </c>
      <c r="M118" s="172" t="s">
        <v>556</v>
      </c>
      <c r="N118" s="172" t="s">
        <v>560</v>
      </c>
      <c r="O118" s="164" t="s">
        <v>2600</v>
      </c>
      <c r="P118" s="177"/>
      <c r="Q118" s="36"/>
      <c r="R118" s="177"/>
    </row>
    <row r="119" s="92" customFormat="1" customHeight="1" spans="1:18">
      <c r="A119" s="157" t="s">
        <v>561</v>
      </c>
      <c r="B119" s="161" t="s">
        <v>325</v>
      </c>
      <c r="C119" s="159">
        <f t="shared" si="26"/>
        <v>2707</v>
      </c>
      <c r="D119" s="159">
        <v>1860</v>
      </c>
      <c r="E119" s="159"/>
      <c r="F119" s="159">
        <v>152</v>
      </c>
      <c r="G119" s="159"/>
      <c r="H119" s="159"/>
      <c r="I119" s="159"/>
      <c r="J119" s="159">
        <v>695</v>
      </c>
      <c r="K119" s="171" t="s">
        <v>1082</v>
      </c>
      <c r="L119" s="172" t="s">
        <v>561</v>
      </c>
      <c r="M119" s="172" t="s">
        <v>556</v>
      </c>
      <c r="N119" s="172" t="s">
        <v>561</v>
      </c>
      <c r="O119" s="164" t="s">
        <v>2634</v>
      </c>
      <c r="P119" s="177"/>
      <c r="Q119" s="36"/>
      <c r="R119" s="177"/>
    </row>
    <row r="120" s="92" customFormat="1" customHeight="1" spans="1:18">
      <c r="A120" s="157" t="s">
        <v>562</v>
      </c>
      <c r="B120" s="161" t="s">
        <v>326</v>
      </c>
      <c r="C120" s="159">
        <f t="shared" si="26"/>
        <v>3774</v>
      </c>
      <c r="D120" s="159">
        <v>3774</v>
      </c>
      <c r="E120" s="159"/>
      <c r="F120" s="159"/>
      <c r="G120" s="159"/>
      <c r="H120" s="159"/>
      <c r="I120" s="159"/>
      <c r="J120" s="159"/>
      <c r="K120" s="171" t="s">
        <v>1082</v>
      </c>
      <c r="L120" s="172" t="s">
        <v>562</v>
      </c>
      <c r="M120" s="172" t="s">
        <v>556</v>
      </c>
      <c r="N120" s="172" t="s">
        <v>562</v>
      </c>
      <c r="O120" s="164" t="s">
        <v>2644</v>
      </c>
      <c r="P120" s="177"/>
      <c r="Q120" s="36"/>
      <c r="R120" s="177"/>
    </row>
    <row r="121" s="92" customFormat="1" customHeight="1" spans="1:18">
      <c r="A121" s="157" t="s">
        <v>563</v>
      </c>
      <c r="B121" s="161" t="s">
        <v>327</v>
      </c>
      <c r="C121" s="159">
        <f t="shared" si="26"/>
        <v>50</v>
      </c>
      <c r="D121" s="159">
        <v>50</v>
      </c>
      <c r="E121" s="159"/>
      <c r="F121" s="159"/>
      <c r="G121" s="159"/>
      <c r="H121" s="159"/>
      <c r="I121" s="159"/>
      <c r="J121" s="159"/>
      <c r="K121" s="171" t="s">
        <v>1082</v>
      </c>
      <c r="L121" s="172" t="s">
        <v>563</v>
      </c>
      <c r="M121" s="172" t="s">
        <v>556</v>
      </c>
      <c r="N121" s="172" t="s">
        <v>563</v>
      </c>
      <c r="O121" s="164" t="s">
        <v>2657</v>
      </c>
      <c r="P121" s="177"/>
      <c r="Q121" s="36"/>
      <c r="R121" s="177"/>
    </row>
    <row r="122" s="92" customFormat="1" customHeight="1" spans="1:18">
      <c r="A122" s="157" t="s">
        <v>564</v>
      </c>
      <c r="B122" s="161" t="s">
        <v>328</v>
      </c>
      <c r="C122" s="159">
        <f t="shared" si="26"/>
        <v>2591</v>
      </c>
      <c r="D122" s="159">
        <v>204</v>
      </c>
      <c r="E122" s="159"/>
      <c r="F122" s="159"/>
      <c r="G122" s="159"/>
      <c r="H122" s="159"/>
      <c r="I122" s="159"/>
      <c r="J122" s="159">
        <v>2387</v>
      </c>
      <c r="K122" s="171" t="s">
        <v>1082</v>
      </c>
      <c r="L122" s="172" t="s">
        <v>564</v>
      </c>
      <c r="M122" s="172" t="s">
        <v>556</v>
      </c>
      <c r="N122" s="172" t="s">
        <v>564</v>
      </c>
      <c r="O122" s="164" t="s">
        <v>2667</v>
      </c>
      <c r="P122" s="177"/>
      <c r="Q122" s="36"/>
      <c r="R122" s="177"/>
    </row>
    <row r="123" s="92" customFormat="1" customHeight="1" spans="1:18">
      <c r="A123" s="157" t="s">
        <v>565</v>
      </c>
      <c r="B123" s="161" t="s">
        <v>329</v>
      </c>
      <c r="C123" s="159">
        <f t="shared" si="26"/>
        <v>8</v>
      </c>
      <c r="D123" s="159"/>
      <c r="E123" s="159"/>
      <c r="F123" s="159"/>
      <c r="G123" s="159"/>
      <c r="H123" s="159"/>
      <c r="I123" s="159"/>
      <c r="J123" s="159">
        <v>8</v>
      </c>
      <c r="K123" s="171" t="s">
        <v>1082</v>
      </c>
      <c r="L123" s="172" t="s">
        <v>565</v>
      </c>
      <c r="M123" s="172" t="s">
        <v>556</v>
      </c>
      <c r="N123" s="172" t="s">
        <v>565</v>
      </c>
      <c r="O123" s="164" t="s">
        <v>2677</v>
      </c>
      <c r="P123" s="177"/>
      <c r="Q123" s="36"/>
      <c r="R123" s="177"/>
    </row>
    <row r="124" s="92" customFormat="1" customHeight="1" spans="1:18">
      <c r="A124" s="157" t="s">
        <v>566</v>
      </c>
      <c r="B124" s="161" t="s">
        <v>330</v>
      </c>
      <c r="C124" s="159">
        <f t="shared" si="26"/>
        <v>602</v>
      </c>
      <c r="D124" s="159">
        <v>441</v>
      </c>
      <c r="E124" s="159"/>
      <c r="F124" s="159">
        <v>91</v>
      </c>
      <c r="G124" s="159"/>
      <c r="H124" s="159"/>
      <c r="I124" s="159"/>
      <c r="J124" s="159">
        <v>70</v>
      </c>
      <c r="K124" s="171" t="s">
        <v>1082</v>
      </c>
      <c r="L124" s="172" t="s">
        <v>566</v>
      </c>
      <c r="M124" s="172" t="s">
        <v>556</v>
      </c>
      <c r="N124" s="172" t="s">
        <v>566</v>
      </c>
      <c r="O124" s="164" t="s">
        <v>2684</v>
      </c>
      <c r="P124" s="177"/>
      <c r="Q124" s="36"/>
      <c r="R124" s="177"/>
    </row>
    <row r="125" s="92" customFormat="1" customHeight="1" spans="1:18">
      <c r="A125" s="157" t="s">
        <v>568</v>
      </c>
      <c r="B125" s="161" t="s">
        <v>2699</v>
      </c>
      <c r="C125" s="159">
        <f t="shared" si="26"/>
        <v>178</v>
      </c>
      <c r="D125" s="159"/>
      <c r="E125" s="159"/>
      <c r="F125" s="159">
        <v>28</v>
      </c>
      <c r="G125" s="159"/>
      <c r="H125" s="159"/>
      <c r="I125" s="159"/>
      <c r="J125" s="159">
        <v>150</v>
      </c>
      <c r="K125" s="171" t="s">
        <v>1082</v>
      </c>
      <c r="L125" s="172" t="s">
        <v>568</v>
      </c>
      <c r="M125" s="172" t="s">
        <v>556</v>
      </c>
      <c r="N125" s="172" t="s">
        <v>568</v>
      </c>
      <c r="O125" s="164" t="s">
        <v>2700</v>
      </c>
      <c r="P125" s="177"/>
      <c r="Q125" s="36"/>
      <c r="R125" s="177"/>
    </row>
    <row r="126" s="92" customFormat="1" customHeight="1" spans="1:18">
      <c r="A126" s="157" t="s">
        <v>569</v>
      </c>
      <c r="B126" s="161" t="s">
        <v>333</v>
      </c>
      <c r="C126" s="159">
        <f t="shared" si="26"/>
        <v>0</v>
      </c>
      <c r="D126" s="159"/>
      <c r="E126" s="159"/>
      <c r="F126" s="159"/>
      <c r="G126" s="159"/>
      <c r="H126" s="159"/>
      <c r="I126" s="159"/>
      <c r="J126" s="159"/>
      <c r="K126" s="171" t="s">
        <v>1082</v>
      </c>
      <c r="L126" s="172" t="s">
        <v>569</v>
      </c>
      <c r="M126" s="172" t="s">
        <v>571</v>
      </c>
      <c r="N126" s="172" t="s">
        <v>569</v>
      </c>
      <c r="O126" s="180" t="s">
        <v>2711</v>
      </c>
      <c r="P126" s="177"/>
      <c r="Q126" s="36"/>
      <c r="R126" s="177"/>
    </row>
    <row r="127" s="92" customFormat="1" customHeight="1" spans="1:18">
      <c r="A127" s="157" t="s">
        <v>2718</v>
      </c>
      <c r="B127" s="161" t="s">
        <v>2719</v>
      </c>
      <c r="C127" s="159">
        <f t="shared" si="26"/>
        <v>0</v>
      </c>
      <c r="D127" s="159"/>
      <c r="E127" s="159"/>
      <c r="F127" s="159"/>
      <c r="G127" s="159"/>
      <c r="H127" s="159"/>
      <c r="I127" s="159"/>
      <c r="J127" s="159"/>
      <c r="K127" s="171" t="s">
        <v>1082</v>
      </c>
      <c r="L127" s="172" t="s">
        <v>2718</v>
      </c>
      <c r="M127" s="172" t="s">
        <v>588</v>
      </c>
      <c r="N127" s="172" t="s">
        <v>2718</v>
      </c>
      <c r="O127" s="180" t="s">
        <v>4170</v>
      </c>
      <c r="P127" s="177"/>
      <c r="Q127" s="36"/>
      <c r="R127" s="177"/>
    </row>
    <row r="128" s="92" customFormat="1" customHeight="1" spans="1:18">
      <c r="A128" s="157" t="s">
        <v>570</v>
      </c>
      <c r="B128" s="161" t="s">
        <v>334</v>
      </c>
      <c r="C128" s="159">
        <f t="shared" si="26"/>
        <v>1974</v>
      </c>
      <c r="D128" s="159">
        <v>168</v>
      </c>
      <c r="E128" s="159"/>
      <c r="F128" s="159">
        <v>1046</v>
      </c>
      <c r="G128" s="159"/>
      <c r="H128" s="159"/>
      <c r="I128" s="159"/>
      <c r="J128" s="159">
        <v>760</v>
      </c>
      <c r="K128" s="171" t="s">
        <v>1082</v>
      </c>
      <c r="L128" s="172" t="s">
        <v>570</v>
      </c>
      <c r="M128" s="172" t="s">
        <v>556</v>
      </c>
      <c r="N128" s="172" t="s">
        <v>570</v>
      </c>
      <c r="O128" s="164" t="s">
        <v>2726</v>
      </c>
      <c r="P128" s="177"/>
      <c r="Q128" s="36"/>
      <c r="R128" s="177"/>
    </row>
    <row r="129" s="93" customFormat="1" customHeight="1" spans="1:18">
      <c r="A129" s="154" t="s">
        <v>571</v>
      </c>
      <c r="B129" s="155" t="s">
        <v>335</v>
      </c>
      <c r="C129" s="156">
        <f t="shared" ref="C129:J129" si="27">SUM(C130:C143)</f>
        <v>4252</v>
      </c>
      <c r="D129" s="156">
        <f t="shared" si="27"/>
        <v>0</v>
      </c>
      <c r="E129" s="156">
        <f t="shared" si="27"/>
        <v>20</v>
      </c>
      <c r="F129" s="156">
        <f t="shared" si="27"/>
        <v>2235</v>
      </c>
      <c r="G129" s="156">
        <f t="shared" si="27"/>
        <v>337</v>
      </c>
      <c r="H129" s="156">
        <f t="shared" si="27"/>
        <v>0</v>
      </c>
      <c r="I129" s="156">
        <f t="shared" si="27"/>
        <v>0</v>
      </c>
      <c r="J129" s="156">
        <f t="shared" si="27"/>
        <v>1660</v>
      </c>
      <c r="K129" s="173" t="s">
        <v>1081</v>
      </c>
      <c r="L129" s="174">
        <v>211</v>
      </c>
      <c r="M129" s="174">
        <v>211</v>
      </c>
      <c r="N129" s="174">
        <f t="shared" ref="N129:R129" si="28">SUM(N130:N143)</f>
        <v>0</v>
      </c>
      <c r="O129" s="175" t="s">
        <v>2728</v>
      </c>
      <c r="P129" s="176">
        <f t="shared" si="28"/>
        <v>0</v>
      </c>
      <c r="Q129" s="156">
        <f t="shared" si="28"/>
        <v>0</v>
      </c>
      <c r="R129" s="178">
        <f t="shared" si="28"/>
        <v>0</v>
      </c>
    </row>
    <row r="130" s="92" customFormat="1" customHeight="1" spans="1:18">
      <c r="A130" s="157" t="s">
        <v>572</v>
      </c>
      <c r="B130" s="161" t="s">
        <v>336</v>
      </c>
      <c r="C130" s="159">
        <f t="shared" ref="C130:C143" si="29">SUM(D130:J130)</f>
        <v>0</v>
      </c>
      <c r="D130" s="159"/>
      <c r="E130" s="159"/>
      <c r="F130" s="159"/>
      <c r="G130" s="159"/>
      <c r="H130" s="159"/>
      <c r="I130" s="159"/>
      <c r="J130" s="159"/>
      <c r="K130" s="171" t="s">
        <v>1082</v>
      </c>
      <c r="L130" s="172" t="s">
        <v>572</v>
      </c>
      <c r="M130" s="172" t="s">
        <v>571</v>
      </c>
      <c r="N130" s="172" t="s">
        <v>572</v>
      </c>
      <c r="O130" s="164" t="s">
        <v>2729</v>
      </c>
      <c r="P130" s="177"/>
      <c r="Q130" s="36"/>
      <c r="R130" s="177"/>
    </row>
    <row r="131" s="92" customFormat="1" customHeight="1" spans="1:18">
      <c r="A131" s="157" t="s">
        <v>573</v>
      </c>
      <c r="B131" s="161" t="s">
        <v>337</v>
      </c>
      <c r="C131" s="159">
        <f t="shared" si="29"/>
        <v>0</v>
      </c>
      <c r="D131" s="159"/>
      <c r="E131" s="159"/>
      <c r="F131" s="159"/>
      <c r="G131" s="159"/>
      <c r="H131" s="159"/>
      <c r="I131" s="159"/>
      <c r="J131" s="159"/>
      <c r="K131" s="171" t="s">
        <v>1082</v>
      </c>
      <c r="L131" s="172" t="s">
        <v>573</v>
      </c>
      <c r="M131" s="172" t="s">
        <v>571</v>
      </c>
      <c r="N131" s="172" t="s">
        <v>573</v>
      </c>
      <c r="O131" s="164" t="s">
        <v>2751</v>
      </c>
      <c r="P131" s="177"/>
      <c r="Q131" s="36"/>
      <c r="R131" s="177"/>
    </row>
    <row r="132" s="92" customFormat="1" customHeight="1" spans="1:18">
      <c r="A132" s="157" t="s">
        <v>574</v>
      </c>
      <c r="B132" s="161" t="s">
        <v>338</v>
      </c>
      <c r="C132" s="159">
        <f t="shared" si="29"/>
        <v>79</v>
      </c>
      <c r="D132" s="159"/>
      <c r="E132" s="159"/>
      <c r="F132" s="159">
        <v>79</v>
      </c>
      <c r="G132" s="159"/>
      <c r="H132" s="159"/>
      <c r="I132" s="159"/>
      <c r="J132" s="159"/>
      <c r="K132" s="171" t="s">
        <v>1082</v>
      </c>
      <c r="L132" s="172" t="s">
        <v>574</v>
      </c>
      <c r="M132" s="172" t="s">
        <v>571</v>
      </c>
      <c r="N132" s="172" t="s">
        <v>574</v>
      </c>
      <c r="O132" s="164" t="s">
        <v>2761</v>
      </c>
      <c r="P132" s="177"/>
      <c r="Q132" s="36"/>
      <c r="R132" s="177"/>
    </row>
    <row r="133" s="92" customFormat="1" customHeight="1" spans="1:18">
      <c r="A133" s="157" t="s">
        <v>575</v>
      </c>
      <c r="B133" s="161" t="s">
        <v>339</v>
      </c>
      <c r="C133" s="159">
        <f t="shared" si="29"/>
        <v>2059</v>
      </c>
      <c r="D133" s="159"/>
      <c r="E133" s="159">
        <v>20</v>
      </c>
      <c r="F133" s="159">
        <v>899</v>
      </c>
      <c r="G133" s="159"/>
      <c r="H133" s="159"/>
      <c r="I133" s="159"/>
      <c r="J133" s="159">
        <v>1140</v>
      </c>
      <c r="K133" s="171" t="s">
        <v>1082</v>
      </c>
      <c r="L133" s="172" t="s">
        <v>575</v>
      </c>
      <c r="M133" s="172" t="s">
        <v>571</v>
      </c>
      <c r="N133" s="172" t="s">
        <v>575</v>
      </c>
      <c r="O133" s="164" t="s">
        <v>2786</v>
      </c>
      <c r="P133" s="177"/>
      <c r="Q133" s="36"/>
      <c r="R133" s="177"/>
    </row>
    <row r="134" s="92" customFormat="1" customHeight="1" spans="1:18">
      <c r="A134" s="157" t="s">
        <v>576</v>
      </c>
      <c r="B134" s="161" t="s">
        <v>2806</v>
      </c>
      <c r="C134" s="159">
        <f t="shared" si="29"/>
        <v>1537</v>
      </c>
      <c r="D134" s="159"/>
      <c r="E134" s="159"/>
      <c r="F134" s="159">
        <v>1017</v>
      </c>
      <c r="G134" s="159"/>
      <c r="H134" s="159"/>
      <c r="I134" s="159"/>
      <c r="J134" s="159">
        <v>520</v>
      </c>
      <c r="K134" s="171" t="s">
        <v>1082</v>
      </c>
      <c r="L134" s="172" t="s">
        <v>576</v>
      </c>
      <c r="M134" s="172" t="s">
        <v>571</v>
      </c>
      <c r="N134" s="172" t="s">
        <v>576</v>
      </c>
      <c r="O134" s="164" t="s">
        <v>4171</v>
      </c>
      <c r="P134" s="177"/>
      <c r="Q134" s="36"/>
      <c r="R134" s="177"/>
    </row>
    <row r="135" s="92" customFormat="1" customHeight="1" spans="1:18">
      <c r="A135" s="157" t="s">
        <v>579</v>
      </c>
      <c r="B135" s="161" t="s">
        <v>342</v>
      </c>
      <c r="C135" s="159">
        <f t="shared" si="29"/>
        <v>0</v>
      </c>
      <c r="D135" s="159"/>
      <c r="E135" s="159"/>
      <c r="F135" s="159"/>
      <c r="G135" s="159"/>
      <c r="H135" s="159"/>
      <c r="I135" s="159"/>
      <c r="J135" s="159"/>
      <c r="K135" s="171" t="s">
        <v>1082</v>
      </c>
      <c r="L135" s="172" t="s">
        <v>579</v>
      </c>
      <c r="M135" s="172" t="s">
        <v>571</v>
      </c>
      <c r="N135" s="172" t="s">
        <v>579</v>
      </c>
      <c r="O135" s="164" t="s">
        <v>2826</v>
      </c>
      <c r="P135" s="177"/>
      <c r="Q135" s="36"/>
      <c r="R135" s="177"/>
    </row>
    <row r="136" s="92" customFormat="1" customHeight="1" spans="1:18">
      <c r="A136" s="157" t="s">
        <v>580</v>
      </c>
      <c r="B136" s="161" t="s">
        <v>343</v>
      </c>
      <c r="C136" s="159">
        <f t="shared" si="29"/>
        <v>0</v>
      </c>
      <c r="D136" s="159"/>
      <c r="E136" s="159"/>
      <c r="F136" s="159"/>
      <c r="G136" s="159"/>
      <c r="H136" s="159"/>
      <c r="I136" s="159"/>
      <c r="J136" s="159"/>
      <c r="K136" s="171" t="s">
        <v>1082</v>
      </c>
      <c r="L136" s="172" t="s">
        <v>580</v>
      </c>
      <c r="M136" s="172" t="s">
        <v>571</v>
      </c>
      <c r="N136" s="172" t="s">
        <v>580</v>
      </c>
      <c r="O136" s="164" t="s">
        <v>2833</v>
      </c>
      <c r="P136" s="177"/>
      <c r="Q136" s="36"/>
      <c r="R136" s="177"/>
    </row>
    <row r="137" s="92" customFormat="1" customHeight="1" spans="1:18">
      <c r="A137" s="157" t="s">
        <v>581</v>
      </c>
      <c r="B137" s="161" t="s">
        <v>344</v>
      </c>
      <c r="C137" s="159">
        <f t="shared" si="29"/>
        <v>0</v>
      </c>
      <c r="D137" s="159"/>
      <c r="E137" s="159"/>
      <c r="F137" s="159"/>
      <c r="G137" s="159"/>
      <c r="H137" s="159"/>
      <c r="I137" s="159"/>
      <c r="J137" s="159"/>
      <c r="K137" s="171" t="s">
        <v>1082</v>
      </c>
      <c r="L137" s="172" t="s">
        <v>581</v>
      </c>
      <c r="M137" s="172" t="s">
        <v>571</v>
      </c>
      <c r="N137" s="172" t="s">
        <v>581</v>
      </c>
      <c r="O137" s="164" t="s">
        <v>2840</v>
      </c>
      <c r="P137" s="177"/>
      <c r="Q137" s="36"/>
      <c r="R137" s="177"/>
    </row>
    <row r="138" s="92" customFormat="1" customHeight="1" spans="1:18">
      <c r="A138" s="157" t="s">
        <v>582</v>
      </c>
      <c r="B138" s="161" t="s">
        <v>345</v>
      </c>
      <c r="C138" s="159">
        <f t="shared" si="29"/>
        <v>0</v>
      </c>
      <c r="D138" s="159"/>
      <c r="E138" s="159"/>
      <c r="F138" s="159"/>
      <c r="G138" s="159"/>
      <c r="H138" s="159"/>
      <c r="I138" s="159"/>
      <c r="J138" s="159"/>
      <c r="K138" s="171" t="s">
        <v>1082</v>
      </c>
      <c r="L138" s="172" t="s">
        <v>582</v>
      </c>
      <c r="M138" s="172" t="s">
        <v>571</v>
      </c>
      <c r="N138" s="172" t="s">
        <v>582</v>
      </c>
      <c r="O138" s="164" t="s">
        <v>2843</v>
      </c>
      <c r="P138" s="177"/>
      <c r="Q138" s="36"/>
      <c r="R138" s="177"/>
    </row>
    <row r="139" s="92" customFormat="1" customHeight="1" spans="1:18">
      <c r="A139" s="157" t="s">
        <v>583</v>
      </c>
      <c r="B139" s="161" t="s">
        <v>346</v>
      </c>
      <c r="C139" s="159">
        <f t="shared" si="29"/>
        <v>100</v>
      </c>
      <c r="D139" s="159"/>
      <c r="E139" s="159"/>
      <c r="F139" s="159"/>
      <c r="G139" s="162">
        <v>100</v>
      </c>
      <c r="H139" s="159"/>
      <c r="I139" s="159"/>
      <c r="J139" s="159"/>
      <c r="K139" s="171" t="s">
        <v>1082</v>
      </c>
      <c r="L139" s="172" t="s">
        <v>583</v>
      </c>
      <c r="M139" s="172" t="s">
        <v>571</v>
      </c>
      <c r="N139" s="172" t="s">
        <v>583</v>
      </c>
      <c r="O139" s="164" t="s">
        <v>2846</v>
      </c>
      <c r="P139" s="177"/>
      <c r="Q139" s="36"/>
      <c r="R139" s="177"/>
    </row>
    <row r="140" s="92" customFormat="1" customHeight="1" spans="1:18">
      <c r="A140" s="157" t="s">
        <v>584</v>
      </c>
      <c r="B140" s="161" t="s">
        <v>2862</v>
      </c>
      <c r="C140" s="159">
        <f t="shared" si="29"/>
        <v>240</v>
      </c>
      <c r="D140" s="159"/>
      <c r="E140" s="159"/>
      <c r="F140" s="159">
        <v>240</v>
      </c>
      <c r="G140" s="159"/>
      <c r="H140" s="159"/>
      <c r="I140" s="159"/>
      <c r="J140" s="159"/>
      <c r="K140" s="171" t="s">
        <v>1082</v>
      </c>
      <c r="L140" s="172" t="s">
        <v>584</v>
      </c>
      <c r="M140" s="172" t="s">
        <v>571</v>
      </c>
      <c r="N140" s="172" t="s">
        <v>584</v>
      </c>
      <c r="O140" s="164" t="s">
        <v>4172</v>
      </c>
      <c r="P140" s="177"/>
      <c r="Q140" s="36"/>
      <c r="R140" s="177"/>
    </row>
    <row r="141" s="92" customFormat="1" customHeight="1" spans="1:18">
      <c r="A141" s="157" t="s">
        <v>585</v>
      </c>
      <c r="B141" s="161" t="s">
        <v>348</v>
      </c>
      <c r="C141" s="159">
        <f t="shared" si="29"/>
        <v>0</v>
      </c>
      <c r="D141" s="159"/>
      <c r="E141" s="159"/>
      <c r="F141" s="159"/>
      <c r="G141" s="159"/>
      <c r="H141" s="159"/>
      <c r="I141" s="159"/>
      <c r="J141" s="159"/>
      <c r="K141" s="171" t="s">
        <v>1082</v>
      </c>
      <c r="L141" s="172" t="s">
        <v>585</v>
      </c>
      <c r="M141" s="172" t="s">
        <v>571</v>
      </c>
      <c r="N141" s="172" t="s">
        <v>585</v>
      </c>
      <c r="O141" s="164" t="s">
        <v>2869</v>
      </c>
      <c r="P141" s="177"/>
      <c r="Q141" s="36"/>
      <c r="R141" s="177"/>
    </row>
    <row r="142" s="92" customFormat="1" customHeight="1" spans="1:18">
      <c r="A142" s="157" t="s">
        <v>586</v>
      </c>
      <c r="B142" s="161" t="s">
        <v>349</v>
      </c>
      <c r="C142" s="159">
        <f t="shared" si="29"/>
        <v>237</v>
      </c>
      <c r="D142" s="159"/>
      <c r="E142" s="159"/>
      <c r="F142" s="159"/>
      <c r="G142" s="162">
        <v>237</v>
      </c>
      <c r="H142" s="159"/>
      <c r="I142" s="159"/>
      <c r="J142" s="159"/>
      <c r="K142" s="171" t="s">
        <v>1082</v>
      </c>
      <c r="L142" s="172" t="s">
        <v>586</v>
      </c>
      <c r="M142" s="172" t="s">
        <v>571</v>
      </c>
      <c r="N142" s="172" t="s">
        <v>586</v>
      </c>
      <c r="O142" s="164" t="s">
        <v>2872</v>
      </c>
      <c r="P142" s="177"/>
      <c r="Q142" s="36"/>
      <c r="R142" s="177"/>
    </row>
    <row r="143" s="92" customFormat="1" customHeight="1" spans="1:18">
      <c r="A143" s="157" t="s">
        <v>587</v>
      </c>
      <c r="B143" s="161" t="s">
        <v>350</v>
      </c>
      <c r="C143" s="159">
        <f t="shared" si="29"/>
        <v>0</v>
      </c>
      <c r="D143" s="159"/>
      <c r="E143" s="159"/>
      <c r="F143" s="159"/>
      <c r="G143" s="159"/>
      <c r="H143" s="159"/>
      <c r="I143" s="159"/>
      <c r="J143" s="159"/>
      <c r="K143" s="171" t="s">
        <v>1082</v>
      </c>
      <c r="L143" s="172" t="s">
        <v>587</v>
      </c>
      <c r="M143" s="172" t="s">
        <v>571</v>
      </c>
      <c r="N143" s="172" t="s">
        <v>587</v>
      </c>
      <c r="O143" s="164" t="s">
        <v>2893</v>
      </c>
      <c r="P143" s="177"/>
      <c r="Q143" s="36"/>
      <c r="R143" s="177"/>
    </row>
    <row r="144" s="93" customFormat="1" customHeight="1" spans="1:18">
      <c r="A144" s="154" t="s">
        <v>588</v>
      </c>
      <c r="B144" s="155" t="s">
        <v>351</v>
      </c>
      <c r="C144" s="156">
        <f t="shared" ref="C144:J144" si="30">SUM(C145:C150)</f>
        <v>5427</v>
      </c>
      <c r="D144" s="156">
        <f t="shared" si="30"/>
        <v>2302</v>
      </c>
      <c r="E144" s="156">
        <f t="shared" si="30"/>
        <v>0</v>
      </c>
      <c r="F144" s="156">
        <f t="shared" si="30"/>
        <v>2018</v>
      </c>
      <c r="G144" s="156">
        <f t="shared" si="30"/>
        <v>204</v>
      </c>
      <c r="H144" s="156">
        <f t="shared" si="30"/>
        <v>0</v>
      </c>
      <c r="I144" s="156">
        <f t="shared" si="30"/>
        <v>0</v>
      </c>
      <c r="J144" s="156">
        <f t="shared" si="30"/>
        <v>903</v>
      </c>
      <c r="K144" s="173" t="s">
        <v>1081</v>
      </c>
      <c r="L144" s="174">
        <v>212</v>
      </c>
      <c r="M144" s="174">
        <v>212</v>
      </c>
      <c r="N144" s="174">
        <f t="shared" ref="N144:R144" si="31">SUM(N145:N150)</f>
        <v>0</v>
      </c>
      <c r="O144" s="175" t="s">
        <v>2896</v>
      </c>
      <c r="P144" s="176">
        <f t="shared" si="31"/>
        <v>0</v>
      </c>
      <c r="Q144" s="156">
        <f t="shared" si="31"/>
        <v>0</v>
      </c>
      <c r="R144" s="178">
        <f t="shared" si="31"/>
        <v>0</v>
      </c>
    </row>
    <row r="145" s="92" customFormat="1" customHeight="1" spans="1:18">
      <c r="A145" s="157" t="s">
        <v>589</v>
      </c>
      <c r="B145" s="161" t="s">
        <v>352</v>
      </c>
      <c r="C145" s="159">
        <f t="shared" ref="C145:C150" si="32">SUM(D145:J145)</f>
        <v>2180</v>
      </c>
      <c r="D145" s="159">
        <v>2180</v>
      </c>
      <c r="E145" s="159"/>
      <c r="F145" s="159"/>
      <c r="G145" s="159"/>
      <c r="H145" s="159"/>
      <c r="I145" s="159"/>
      <c r="J145" s="159"/>
      <c r="K145" s="171" t="s">
        <v>1082</v>
      </c>
      <c r="L145" s="172" t="s">
        <v>589</v>
      </c>
      <c r="M145" s="172" t="s">
        <v>588</v>
      </c>
      <c r="N145" s="172" t="s">
        <v>589</v>
      </c>
      <c r="O145" s="164" t="s">
        <v>2898</v>
      </c>
      <c r="P145" s="177"/>
      <c r="Q145" s="36"/>
      <c r="R145" s="177"/>
    </row>
    <row r="146" s="92" customFormat="1" customHeight="1" spans="1:18">
      <c r="A146" s="157" t="s">
        <v>590</v>
      </c>
      <c r="B146" s="161" t="s">
        <v>353</v>
      </c>
      <c r="C146" s="159">
        <f t="shared" si="32"/>
        <v>0</v>
      </c>
      <c r="D146" s="159"/>
      <c r="E146" s="159"/>
      <c r="F146" s="159"/>
      <c r="G146" s="159"/>
      <c r="H146" s="159"/>
      <c r="I146" s="159"/>
      <c r="J146" s="159"/>
      <c r="K146" s="171" t="s">
        <v>1082</v>
      </c>
      <c r="L146" s="172" t="s">
        <v>590</v>
      </c>
      <c r="M146" s="172" t="s">
        <v>588</v>
      </c>
      <c r="N146" s="172" t="s">
        <v>590</v>
      </c>
      <c r="O146" s="164" t="s">
        <v>2924</v>
      </c>
      <c r="P146" s="177"/>
      <c r="Q146" s="36"/>
      <c r="R146" s="177"/>
    </row>
    <row r="147" s="92" customFormat="1" customHeight="1" spans="1:18">
      <c r="A147" s="157" t="s">
        <v>591</v>
      </c>
      <c r="B147" s="161" t="s">
        <v>354</v>
      </c>
      <c r="C147" s="159">
        <f t="shared" si="32"/>
        <v>3011</v>
      </c>
      <c r="D147" s="159">
        <v>90</v>
      </c>
      <c r="E147" s="159"/>
      <c r="F147" s="159">
        <v>2018</v>
      </c>
      <c r="G147" s="159"/>
      <c r="H147" s="159"/>
      <c r="I147" s="159"/>
      <c r="J147" s="159">
        <v>903</v>
      </c>
      <c r="K147" s="171" t="s">
        <v>1082</v>
      </c>
      <c r="L147" s="172" t="s">
        <v>591</v>
      </c>
      <c r="M147" s="172" t="s">
        <v>588</v>
      </c>
      <c r="N147" s="172" t="s">
        <v>591</v>
      </c>
      <c r="O147" s="164" t="s">
        <v>2927</v>
      </c>
      <c r="P147" s="177"/>
      <c r="Q147" s="36"/>
      <c r="R147" s="177"/>
    </row>
    <row r="148" s="92" customFormat="1" customHeight="1" spans="1:18">
      <c r="A148" s="157" t="s">
        <v>592</v>
      </c>
      <c r="B148" s="161" t="s">
        <v>355</v>
      </c>
      <c r="C148" s="159">
        <f t="shared" si="32"/>
        <v>32</v>
      </c>
      <c r="D148" s="159">
        <v>32</v>
      </c>
      <c r="E148" s="159"/>
      <c r="F148" s="159"/>
      <c r="G148" s="159"/>
      <c r="H148" s="159"/>
      <c r="I148" s="159"/>
      <c r="J148" s="159"/>
      <c r="K148" s="171" t="s">
        <v>1082</v>
      </c>
      <c r="L148" s="172" t="s">
        <v>592</v>
      </c>
      <c r="M148" s="172" t="s">
        <v>588</v>
      </c>
      <c r="N148" s="172" t="s">
        <v>592</v>
      </c>
      <c r="O148" s="164" t="s">
        <v>2935</v>
      </c>
      <c r="P148" s="177"/>
      <c r="Q148" s="36"/>
      <c r="R148" s="177"/>
    </row>
    <row r="149" s="92" customFormat="1" customHeight="1" spans="1:18">
      <c r="A149" s="157" t="s">
        <v>593</v>
      </c>
      <c r="B149" s="161" t="s">
        <v>356</v>
      </c>
      <c r="C149" s="159">
        <f t="shared" si="32"/>
        <v>0</v>
      </c>
      <c r="D149" s="159"/>
      <c r="E149" s="159"/>
      <c r="F149" s="159"/>
      <c r="G149" s="159"/>
      <c r="H149" s="159"/>
      <c r="I149" s="159"/>
      <c r="J149" s="159"/>
      <c r="K149" s="171" t="s">
        <v>1082</v>
      </c>
      <c r="L149" s="172" t="s">
        <v>593</v>
      </c>
      <c r="M149" s="172" t="s">
        <v>588</v>
      </c>
      <c r="N149" s="172" t="s">
        <v>593</v>
      </c>
      <c r="O149" s="164" t="s">
        <v>2938</v>
      </c>
      <c r="P149" s="177"/>
      <c r="Q149" s="36"/>
      <c r="R149" s="177"/>
    </row>
    <row r="150" s="92" customFormat="1" customHeight="1" spans="1:18">
      <c r="A150" s="157" t="s">
        <v>594</v>
      </c>
      <c r="B150" s="161" t="s">
        <v>357</v>
      </c>
      <c r="C150" s="159">
        <f t="shared" si="32"/>
        <v>204</v>
      </c>
      <c r="D150" s="159"/>
      <c r="E150" s="159"/>
      <c r="F150" s="159"/>
      <c r="G150" s="162">
        <v>204</v>
      </c>
      <c r="H150" s="159"/>
      <c r="I150" s="159"/>
      <c r="J150" s="159"/>
      <c r="K150" s="171" t="s">
        <v>1082</v>
      </c>
      <c r="L150" s="172" t="s">
        <v>594</v>
      </c>
      <c r="M150" s="172" t="s">
        <v>588</v>
      </c>
      <c r="N150" s="172" t="s">
        <v>594</v>
      </c>
      <c r="O150" s="164" t="s">
        <v>2941</v>
      </c>
      <c r="P150" s="177"/>
      <c r="Q150" s="36"/>
      <c r="R150" s="177"/>
    </row>
    <row r="151" s="93" customFormat="1" customHeight="1" spans="1:18">
      <c r="A151" s="154" t="s">
        <v>595</v>
      </c>
      <c r="B151" s="155" t="s">
        <v>358</v>
      </c>
      <c r="C151" s="156">
        <f t="shared" ref="C151:J151" si="33">SUM(C152:C159)</f>
        <v>109607</v>
      </c>
      <c r="D151" s="156">
        <f t="shared" si="33"/>
        <v>13811</v>
      </c>
      <c r="E151" s="156">
        <f t="shared" si="33"/>
        <v>1120</v>
      </c>
      <c r="F151" s="156">
        <f t="shared" si="33"/>
        <v>51161</v>
      </c>
      <c r="G151" s="156">
        <f t="shared" si="33"/>
        <v>564</v>
      </c>
      <c r="H151" s="156">
        <f t="shared" si="33"/>
        <v>2151</v>
      </c>
      <c r="I151" s="156">
        <f t="shared" si="33"/>
        <v>0</v>
      </c>
      <c r="J151" s="156">
        <f t="shared" si="33"/>
        <v>40800</v>
      </c>
      <c r="K151" s="173" t="s">
        <v>1081</v>
      </c>
      <c r="L151" s="174">
        <v>213</v>
      </c>
      <c r="M151" s="174">
        <v>213</v>
      </c>
      <c r="N151" s="174">
        <f t="shared" ref="N151:R151" si="34">SUM(N152:N159)</f>
        <v>0</v>
      </c>
      <c r="O151" s="175" t="s">
        <v>2943</v>
      </c>
      <c r="P151" s="176">
        <f t="shared" si="34"/>
        <v>0</v>
      </c>
      <c r="Q151" s="156">
        <f t="shared" si="34"/>
        <v>0</v>
      </c>
      <c r="R151" s="178">
        <f t="shared" si="34"/>
        <v>0</v>
      </c>
    </row>
    <row r="152" s="92" customFormat="1" customHeight="1" spans="1:18">
      <c r="A152" s="157" t="s">
        <v>596</v>
      </c>
      <c r="B152" s="161" t="s">
        <v>359</v>
      </c>
      <c r="C152" s="159">
        <f t="shared" ref="C152:C159" si="35">SUM(D152:J152)</f>
        <v>16907</v>
      </c>
      <c r="D152" s="159">
        <v>4039</v>
      </c>
      <c r="E152" s="159">
        <v>303</v>
      </c>
      <c r="F152" s="159">
        <v>9768</v>
      </c>
      <c r="G152" s="159"/>
      <c r="H152" s="159"/>
      <c r="I152" s="159"/>
      <c r="J152" s="159">
        <v>2797</v>
      </c>
      <c r="K152" s="171" t="s">
        <v>1082</v>
      </c>
      <c r="L152" s="172" t="s">
        <v>596</v>
      </c>
      <c r="M152" s="172" t="s">
        <v>595</v>
      </c>
      <c r="N152" s="172" t="s">
        <v>596</v>
      </c>
      <c r="O152" s="164" t="s">
        <v>4173</v>
      </c>
      <c r="P152" s="177"/>
      <c r="Q152" s="36"/>
      <c r="R152" s="177"/>
    </row>
    <row r="153" s="92" customFormat="1" customHeight="1" spans="1:18">
      <c r="A153" s="157" t="s">
        <v>597</v>
      </c>
      <c r="B153" s="161" t="s">
        <v>360</v>
      </c>
      <c r="C153" s="159">
        <f t="shared" si="35"/>
        <v>12897</v>
      </c>
      <c r="D153" s="159">
        <v>2107</v>
      </c>
      <c r="E153" s="159"/>
      <c r="F153" s="159">
        <v>10120</v>
      </c>
      <c r="G153" s="159"/>
      <c r="H153" s="159"/>
      <c r="I153" s="159"/>
      <c r="J153" s="159">
        <v>670</v>
      </c>
      <c r="K153" s="171" t="s">
        <v>1082</v>
      </c>
      <c r="L153" s="172" t="s">
        <v>597</v>
      </c>
      <c r="M153" s="172" t="s">
        <v>595</v>
      </c>
      <c r="N153" s="172" t="s">
        <v>597</v>
      </c>
      <c r="O153" s="164" t="s">
        <v>3014</v>
      </c>
      <c r="P153" s="177"/>
      <c r="Q153" s="36"/>
      <c r="R153" s="177"/>
    </row>
    <row r="154" s="92" customFormat="1" customHeight="1" spans="1:18">
      <c r="A154" s="157" t="s">
        <v>598</v>
      </c>
      <c r="B154" s="161" t="s">
        <v>361</v>
      </c>
      <c r="C154" s="159">
        <f t="shared" si="35"/>
        <v>4744</v>
      </c>
      <c r="D154" s="159">
        <v>548</v>
      </c>
      <c r="E154" s="159">
        <v>118</v>
      </c>
      <c r="F154" s="159">
        <v>2489</v>
      </c>
      <c r="G154" s="159"/>
      <c r="H154" s="159"/>
      <c r="I154" s="159"/>
      <c r="J154" s="159">
        <v>1589</v>
      </c>
      <c r="K154" s="171" t="s">
        <v>1082</v>
      </c>
      <c r="L154" s="172" t="s">
        <v>598</v>
      </c>
      <c r="M154" s="172" t="s">
        <v>595</v>
      </c>
      <c r="N154" s="172" t="s">
        <v>598</v>
      </c>
      <c r="O154" s="164" t="s">
        <v>3075</v>
      </c>
      <c r="P154" s="177"/>
      <c r="Q154" s="36"/>
      <c r="R154" s="177"/>
    </row>
    <row r="155" s="92" customFormat="1" customHeight="1" spans="1:18">
      <c r="A155" s="157" t="s">
        <v>599</v>
      </c>
      <c r="B155" s="161" t="s">
        <v>362</v>
      </c>
      <c r="C155" s="159">
        <f t="shared" si="35"/>
        <v>46919</v>
      </c>
      <c r="D155" s="162">
        <f>2833-564</f>
        <v>2269</v>
      </c>
      <c r="E155" s="159"/>
      <c r="F155" s="159">
        <v>7051</v>
      </c>
      <c r="G155" s="162">
        <v>564</v>
      </c>
      <c r="H155" s="159">
        <v>2151</v>
      </c>
      <c r="I155" s="159"/>
      <c r="J155" s="159">
        <v>34884</v>
      </c>
      <c r="K155" s="171" t="s">
        <v>1082</v>
      </c>
      <c r="L155" s="172" t="s">
        <v>599</v>
      </c>
      <c r="M155" s="172" t="s">
        <v>595</v>
      </c>
      <c r="N155" s="172" t="s">
        <v>599</v>
      </c>
      <c r="O155" s="164" t="s">
        <v>4174</v>
      </c>
      <c r="P155" s="177"/>
      <c r="Q155" s="36"/>
      <c r="R155" s="177"/>
    </row>
    <row r="156" s="92" customFormat="1" customHeight="1" spans="1:18">
      <c r="A156" s="157" t="s">
        <v>601</v>
      </c>
      <c r="B156" s="161" t="s">
        <v>363</v>
      </c>
      <c r="C156" s="159">
        <f t="shared" si="35"/>
        <v>9065</v>
      </c>
      <c r="D156" s="159">
        <v>4848</v>
      </c>
      <c r="E156" s="159">
        <v>699</v>
      </c>
      <c r="F156" s="159">
        <v>3518</v>
      </c>
      <c r="G156" s="159"/>
      <c r="H156" s="159"/>
      <c r="I156" s="159"/>
      <c r="J156" s="159"/>
      <c r="K156" s="171" t="s">
        <v>1082</v>
      </c>
      <c r="L156" s="172" t="s">
        <v>601</v>
      </c>
      <c r="M156" s="172" t="s">
        <v>595</v>
      </c>
      <c r="N156" s="172" t="s">
        <v>601</v>
      </c>
      <c r="O156" s="164" t="s">
        <v>3175</v>
      </c>
      <c r="P156" s="177"/>
      <c r="Q156" s="36"/>
      <c r="R156" s="177"/>
    </row>
    <row r="157" s="92" customFormat="1" customHeight="1" spans="1:18">
      <c r="A157" s="157" t="s">
        <v>602</v>
      </c>
      <c r="B157" s="161" t="s">
        <v>364</v>
      </c>
      <c r="C157" s="159">
        <f t="shared" si="35"/>
        <v>953</v>
      </c>
      <c r="D157" s="159"/>
      <c r="E157" s="159"/>
      <c r="F157" s="159">
        <v>93</v>
      </c>
      <c r="G157" s="159"/>
      <c r="H157" s="159"/>
      <c r="I157" s="159"/>
      <c r="J157" s="159">
        <v>860</v>
      </c>
      <c r="K157" s="171" t="s">
        <v>1082</v>
      </c>
      <c r="L157" s="172" t="s">
        <v>602</v>
      </c>
      <c r="M157" s="172" t="s">
        <v>595</v>
      </c>
      <c r="N157" s="172" t="s">
        <v>602</v>
      </c>
      <c r="O157" s="164" t="s">
        <v>3192</v>
      </c>
      <c r="P157" s="177"/>
      <c r="Q157" s="36"/>
      <c r="R157" s="177"/>
    </row>
    <row r="158" s="92" customFormat="1" customHeight="1" spans="1:18">
      <c r="A158" s="157" t="s">
        <v>603</v>
      </c>
      <c r="B158" s="161" t="s">
        <v>365</v>
      </c>
      <c r="C158" s="159">
        <f t="shared" si="35"/>
        <v>0</v>
      </c>
      <c r="D158" s="159"/>
      <c r="E158" s="159"/>
      <c r="F158" s="159"/>
      <c r="G158" s="159"/>
      <c r="H158" s="159"/>
      <c r="I158" s="159"/>
      <c r="J158" s="159"/>
      <c r="K158" s="171" t="s">
        <v>1082</v>
      </c>
      <c r="L158" s="172" t="s">
        <v>603</v>
      </c>
      <c r="M158" s="172" t="s">
        <v>595</v>
      </c>
      <c r="N158" s="172" t="s">
        <v>603</v>
      </c>
      <c r="O158" s="164" t="s">
        <v>3209</v>
      </c>
      <c r="P158" s="177"/>
      <c r="Q158" s="36"/>
      <c r="R158" s="177"/>
    </row>
    <row r="159" s="92" customFormat="1" customHeight="1" spans="1:18">
      <c r="A159" s="157" t="s">
        <v>604</v>
      </c>
      <c r="B159" s="161" t="s">
        <v>366</v>
      </c>
      <c r="C159" s="159">
        <f t="shared" si="35"/>
        <v>18122</v>
      </c>
      <c r="D159" s="159"/>
      <c r="E159" s="159"/>
      <c r="F159" s="159">
        <v>18122</v>
      </c>
      <c r="G159" s="159"/>
      <c r="H159" s="159"/>
      <c r="I159" s="159"/>
      <c r="J159" s="159"/>
      <c r="K159" s="171" t="s">
        <v>1082</v>
      </c>
      <c r="L159" s="172" t="s">
        <v>604</v>
      </c>
      <c r="M159" s="172" t="s">
        <v>595</v>
      </c>
      <c r="N159" s="172" t="s">
        <v>604</v>
      </c>
      <c r="O159" s="164" t="s">
        <v>3217</v>
      </c>
      <c r="P159" s="177"/>
      <c r="Q159" s="36"/>
      <c r="R159" s="177"/>
    </row>
    <row r="160" s="93" customFormat="1" customHeight="1" spans="1:18">
      <c r="A160" s="154" t="s">
        <v>605</v>
      </c>
      <c r="B160" s="155" t="s">
        <v>367</v>
      </c>
      <c r="C160" s="156">
        <f t="shared" ref="C160:J160" si="36">SUM(C161:C165)</f>
        <v>18242</v>
      </c>
      <c r="D160" s="156">
        <f t="shared" si="36"/>
        <v>2731</v>
      </c>
      <c r="E160" s="156">
        <f t="shared" si="36"/>
        <v>85</v>
      </c>
      <c r="F160" s="156">
        <f t="shared" si="36"/>
        <v>14560</v>
      </c>
      <c r="G160" s="156">
        <f t="shared" si="36"/>
        <v>75</v>
      </c>
      <c r="H160" s="156">
        <f t="shared" si="36"/>
        <v>0</v>
      </c>
      <c r="I160" s="156">
        <f t="shared" si="36"/>
        <v>0</v>
      </c>
      <c r="J160" s="156">
        <f t="shared" si="36"/>
        <v>791</v>
      </c>
      <c r="K160" s="173" t="s">
        <v>1081</v>
      </c>
      <c r="L160" s="174">
        <v>214</v>
      </c>
      <c r="M160" s="174">
        <v>214</v>
      </c>
      <c r="N160" s="174">
        <f t="shared" ref="N160:R160" si="37">SUM(N161:N165)</f>
        <v>0</v>
      </c>
      <c r="O160" s="175" t="s">
        <v>3222</v>
      </c>
      <c r="P160" s="176">
        <f t="shared" si="37"/>
        <v>0</v>
      </c>
      <c r="Q160" s="156">
        <f t="shared" si="37"/>
        <v>0</v>
      </c>
      <c r="R160" s="178">
        <f t="shared" si="37"/>
        <v>0</v>
      </c>
    </row>
    <row r="161" s="92" customFormat="1" customHeight="1" spans="1:18">
      <c r="A161" s="157" t="s">
        <v>606</v>
      </c>
      <c r="B161" s="161" t="s">
        <v>368</v>
      </c>
      <c r="C161" s="159">
        <f t="shared" ref="C161:C165" si="38">SUM(D161:J161)</f>
        <v>18102</v>
      </c>
      <c r="D161" s="159">
        <v>2723</v>
      </c>
      <c r="E161" s="159">
        <v>85</v>
      </c>
      <c r="F161" s="159">
        <v>14428</v>
      </c>
      <c r="G161" s="159">
        <v>75</v>
      </c>
      <c r="H161" s="159"/>
      <c r="I161" s="159"/>
      <c r="J161" s="159">
        <v>791</v>
      </c>
      <c r="K161" s="171" t="s">
        <v>1082</v>
      </c>
      <c r="L161" s="172" t="s">
        <v>606</v>
      </c>
      <c r="M161" s="172" t="s">
        <v>605</v>
      </c>
      <c r="N161" s="172" t="s">
        <v>606</v>
      </c>
      <c r="O161" s="164" t="s">
        <v>3224</v>
      </c>
      <c r="P161" s="177"/>
      <c r="Q161" s="36"/>
      <c r="R161" s="177"/>
    </row>
    <row r="162" s="92" customFormat="1" customHeight="1" spans="1:18">
      <c r="A162" s="157" t="s">
        <v>607</v>
      </c>
      <c r="B162" s="161" t="s">
        <v>369</v>
      </c>
      <c r="C162" s="159">
        <f t="shared" si="38"/>
        <v>8</v>
      </c>
      <c r="D162" s="159">
        <v>8</v>
      </c>
      <c r="E162" s="159"/>
      <c r="F162" s="159"/>
      <c r="G162" s="159"/>
      <c r="H162" s="159"/>
      <c r="I162" s="159"/>
      <c r="J162" s="159"/>
      <c r="K162" s="171" t="s">
        <v>1082</v>
      </c>
      <c r="L162" s="172" t="s">
        <v>607</v>
      </c>
      <c r="M162" s="172" t="s">
        <v>605</v>
      </c>
      <c r="N162" s="172" t="s">
        <v>607</v>
      </c>
      <c r="O162" s="164" t="s">
        <v>3278</v>
      </c>
      <c r="P162" s="177"/>
      <c r="Q162" s="36"/>
      <c r="R162" s="177"/>
    </row>
    <row r="163" s="92" customFormat="1" customHeight="1" spans="1:18">
      <c r="A163" s="157" t="s">
        <v>608</v>
      </c>
      <c r="B163" s="161" t="s">
        <v>370</v>
      </c>
      <c r="C163" s="159">
        <f t="shared" si="38"/>
        <v>0</v>
      </c>
      <c r="D163" s="159"/>
      <c r="E163" s="159"/>
      <c r="F163" s="159"/>
      <c r="G163" s="159"/>
      <c r="H163" s="159"/>
      <c r="I163" s="159"/>
      <c r="J163" s="159"/>
      <c r="K163" s="171" t="s">
        <v>1082</v>
      </c>
      <c r="L163" s="172" t="s">
        <v>608</v>
      </c>
      <c r="M163" s="172" t="s">
        <v>605</v>
      </c>
      <c r="N163" s="172" t="s">
        <v>608</v>
      </c>
      <c r="O163" s="164" t="s">
        <v>3301</v>
      </c>
      <c r="P163" s="177"/>
      <c r="Q163" s="36"/>
      <c r="R163" s="177"/>
    </row>
    <row r="164" s="92" customFormat="1" customHeight="1" spans="1:18">
      <c r="A164" s="157" t="s">
        <v>610</v>
      </c>
      <c r="B164" s="161" t="s">
        <v>372</v>
      </c>
      <c r="C164" s="159">
        <f t="shared" si="38"/>
        <v>0</v>
      </c>
      <c r="D164" s="159"/>
      <c r="E164" s="159"/>
      <c r="F164" s="159"/>
      <c r="G164" s="159"/>
      <c r="H164" s="159"/>
      <c r="I164" s="159"/>
      <c r="J164" s="159"/>
      <c r="K164" s="171" t="s">
        <v>1082</v>
      </c>
      <c r="L164" s="172" t="s">
        <v>610</v>
      </c>
      <c r="M164" s="172" t="s">
        <v>605</v>
      </c>
      <c r="N164" s="172" t="s">
        <v>610</v>
      </c>
      <c r="O164" s="164" t="s">
        <v>3323</v>
      </c>
      <c r="P164" s="177"/>
      <c r="Q164" s="36"/>
      <c r="R164" s="177"/>
    </row>
    <row r="165" s="92" customFormat="1" customHeight="1" spans="1:18">
      <c r="A165" s="157" t="s">
        <v>612</v>
      </c>
      <c r="B165" s="161" t="s">
        <v>374</v>
      </c>
      <c r="C165" s="159">
        <f t="shared" si="38"/>
        <v>132</v>
      </c>
      <c r="D165" s="159">
        <v>0</v>
      </c>
      <c r="E165" s="159"/>
      <c r="F165" s="159">
        <v>132</v>
      </c>
      <c r="G165" s="159"/>
      <c r="H165" s="159"/>
      <c r="I165" s="159"/>
      <c r="J165" s="159"/>
      <c r="K165" s="171" t="s">
        <v>1082</v>
      </c>
      <c r="L165" s="172" t="s">
        <v>612</v>
      </c>
      <c r="M165" s="172" t="s">
        <v>605</v>
      </c>
      <c r="N165" s="172" t="s">
        <v>612</v>
      </c>
      <c r="O165" s="164" t="s">
        <v>3335</v>
      </c>
      <c r="P165" s="177"/>
      <c r="Q165" s="36"/>
      <c r="R165" s="177"/>
    </row>
    <row r="166" s="93" customFormat="1" customHeight="1" spans="1:18">
      <c r="A166" s="154" t="s">
        <v>613</v>
      </c>
      <c r="B166" s="155" t="s">
        <v>375</v>
      </c>
      <c r="C166" s="156">
        <f t="shared" ref="C166:J166" si="39">SUM(C167:C173)</f>
        <v>753</v>
      </c>
      <c r="D166" s="156">
        <f t="shared" si="39"/>
        <v>0</v>
      </c>
      <c r="E166" s="156">
        <f t="shared" si="39"/>
        <v>0</v>
      </c>
      <c r="F166" s="156">
        <f t="shared" si="39"/>
        <v>753</v>
      </c>
      <c r="G166" s="156">
        <f t="shared" si="39"/>
        <v>0</v>
      </c>
      <c r="H166" s="156">
        <f t="shared" si="39"/>
        <v>0</v>
      </c>
      <c r="I166" s="156">
        <f t="shared" si="39"/>
        <v>0</v>
      </c>
      <c r="J166" s="156">
        <f t="shared" si="39"/>
        <v>0</v>
      </c>
      <c r="K166" s="173" t="s">
        <v>1081</v>
      </c>
      <c r="L166" s="174">
        <v>215</v>
      </c>
      <c r="M166" s="174">
        <v>215</v>
      </c>
      <c r="N166" s="174">
        <f t="shared" ref="N166:R166" si="40">SUM(N167:N173)</f>
        <v>0</v>
      </c>
      <c r="O166" s="175" t="s">
        <v>3340</v>
      </c>
      <c r="P166" s="176">
        <f t="shared" si="40"/>
        <v>0</v>
      </c>
      <c r="Q166" s="156">
        <f t="shared" si="40"/>
        <v>0</v>
      </c>
      <c r="R166" s="178">
        <f t="shared" si="40"/>
        <v>0</v>
      </c>
    </row>
    <row r="167" s="92" customFormat="1" customHeight="1" spans="1:18">
      <c r="A167" s="157" t="s">
        <v>614</v>
      </c>
      <c r="B167" s="161" t="s">
        <v>376</v>
      </c>
      <c r="C167" s="159">
        <f t="shared" ref="C167:C173" si="41">SUM(D167:J167)</f>
        <v>0</v>
      </c>
      <c r="D167" s="159"/>
      <c r="E167" s="159"/>
      <c r="F167" s="159"/>
      <c r="G167" s="159"/>
      <c r="H167" s="159"/>
      <c r="I167" s="159"/>
      <c r="J167" s="159"/>
      <c r="K167" s="171" t="s">
        <v>1082</v>
      </c>
      <c r="L167" s="172" t="s">
        <v>614</v>
      </c>
      <c r="M167" s="172" t="s">
        <v>613</v>
      </c>
      <c r="N167" s="172" t="s">
        <v>614</v>
      </c>
      <c r="O167" s="164" t="s">
        <v>3342</v>
      </c>
      <c r="P167" s="177"/>
      <c r="Q167" s="36"/>
      <c r="R167" s="177"/>
    </row>
    <row r="168" s="92" customFormat="1" customHeight="1" spans="1:18">
      <c r="A168" s="157" t="s">
        <v>615</v>
      </c>
      <c r="B168" s="161" t="s">
        <v>377</v>
      </c>
      <c r="C168" s="159">
        <f t="shared" si="41"/>
        <v>153</v>
      </c>
      <c r="D168" s="159"/>
      <c r="E168" s="159"/>
      <c r="F168" s="159">
        <v>153</v>
      </c>
      <c r="G168" s="159"/>
      <c r="H168" s="159"/>
      <c r="I168" s="159"/>
      <c r="J168" s="159"/>
      <c r="K168" s="171" t="s">
        <v>1082</v>
      </c>
      <c r="L168" s="172" t="s">
        <v>615</v>
      </c>
      <c r="M168" s="172" t="s">
        <v>613</v>
      </c>
      <c r="N168" s="172" t="s">
        <v>615</v>
      </c>
      <c r="O168" s="164" t="s">
        <v>3365</v>
      </c>
      <c r="P168" s="177"/>
      <c r="Q168" s="36"/>
      <c r="R168" s="177"/>
    </row>
    <row r="169" s="92" customFormat="1" customHeight="1" spans="1:18">
      <c r="A169" s="157" t="s">
        <v>616</v>
      </c>
      <c r="B169" s="161" t="s">
        <v>378</v>
      </c>
      <c r="C169" s="159">
        <f t="shared" si="41"/>
        <v>0</v>
      </c>
      <c r="D169" s="159"/>
      <c r="E169" s="159"/>
      <c r="F169" s="159">
        <v>0</v>
      </c>
      <c r="G169" s="159"/>
      <c r="H169" s="159"/>
      <c r="I169" s="159"/>
      <c r="J169" s="159"/>
      <c r="K169" s="171" t="s">
        <v>1082</v>
      </c>
      <c r="L169" s="172" t="s">
        <v>616</v>
      </c>
      <c r="M169" s="172" t="s">
        <v>613</v>
      </c>
      <c r="N169" s="172" t="s">
        <v>616</v>
      </c>
      <c r="O169" s="164" t="s">
        <v>3406</v>
      </c>
      <c r="P169" s="177"/>
      <c r="Q169" s="36"/>
      <c r="R169" s="177"/>
    </row>
    <row r="170" s="92" customFormat="1" customHeight="1" spans="1:18">
      <c r="A170" s="157" t="s">
        <v>617</v>
      </c>
      <c r="B170" s="161" t="s">
        <v>379</v>
      </c>
      <c r="C170" s="159">
        <f t="shared" si="41"/>
        <v>0</v>
      </c>
      <c r="D170" s="159"/>
      <c r="E170" s="159"/>
      <c r="F170" s="159"/>
      <c r="G170" s="159"/>
      <c r="H170" s="159"/>
      <c r="I170" s="159"/>
      <c r="J170" s="159"/>
      <c r="K170" s="171" t="s">
        <v>1082</v>
      </c>
      <c r="L170" s="172" t="s">
        <v>617</v>
      </c>
      <c r="M170" s="172" t="s">
        <v>613</v>
      </c>
      <c r="N170" s="172" t="s">
        <v>617</v>
      </c>
      <c r="O170" s="164" t="s">
        <v>3414</v>
      </c>
      <c r="P170" s="177"/>
      <c r="Q170" s="36"/>
      <c r="R170" s="177"/>
    </row>
    <row r="171" s="92" customFormat="1" customHeight="1" spans="1:18">
      <c r="A171" s="157" t="s">
        <v>618</v>
      </c>
      <c r="B171" s="161" t="s">
        <v>380</v>
      </c>
      <c r="C171" s="159">
        <f t="shared" si="41"/>
        <v>0</v>
      </c>
      <c r="D171" s="159"/>
      <c r="E171" s="159"/>
      <c r="F171" s="159">
        <v>0</v>
      </c>
      <c r="G171" s="159"/>
      <c r="H171" s="159"/>
      <c r="I171" s="159"/>
      <c r="J171" s="159"/>
      <c r="K171" s="171" t="s">
        <v>1082</v>
      </c>
      <c r="L171" s="172" t="s">
        <v>618</v>
      </c>
      <c r="M171" s="172" t="s">
        <v>613</v>
      </c>
      <c r="N171" s="172" t="s">
        <v>618</v>
      </c>
      <c r="O171" s="164" t="s">
        <v>3438</v>
      </c>
      <c r="P171" s="177"/>
      <c r="Q171" s="36"/>
      <c r="R171" s="177"/>
    </row>
    <row r="172" s="92" customFormat="1" customHeight="1" spans="1:18">
      <c r="A172" s="157" t="s">
        <v>619</v>
      </c>
      <c r="B172" s="161" t="s">
        <v>381</v>
      </c>
      <c r="C172" s="159">
        <f t="shared" si="41"/>
        <v>0</v>
      </c>
      <c r="D172" s="159"/>
      <c r="E172" s="159"/>
      <c r="F172" s="159">
        <v>0</v>
      </c>
      <c r="G172" s="159"/>
      <c r="H172" s="159"/>
      <c r="I172" s="159"/>
      <c r="J172" s="159"/>
      <c r="K172" s="171" t="s">
        <v>1082</v>
      </c>
      <c r="L172" s="172" t="s">
        <v>619</v>
      </c>
      <c r="M172" s="172" t="s">
        <v>613</v>
      </c>
      <c r="N172" s="172" t="s">
        <v>619</v>
      </c>
      <c r="O172" s="164" t="s">
        <v>3452</v>
      </c>
      <c r="P172" s="177"/>
      <c r="Q172" s="36"/>
      <c r="R172" s="177"/>
    </row>
    <row r="173" s="92" customFormat="1" customHeight="1" spans="1:18">
      <c r="A173" s="157" t="s">
        <v>620</v>
      </c>
      <c r="B173" s="161" t="s">
        <v>382</v>
      </c>
      <c r="C173" s="159">
        <f t="shared" si="41"/>
        <v>600</v>
      </c>
      <c r="D173" s="159"/>
      <c r="E173" s="159"/>
      <c r="F173" s="159">
        <v>600</v>
      </c>
      <c r="G173" s="159"/>
      <c r="H173" s="159"/>
      <c r="I173" s="159"/>
      <c r="J173" s="159"/>
      <c r="K173" s="171" t="s">
        <v>1082</v>
      </c>
      <c r="L173" s="172" t="s">
        <v>620</v>
      </c>
      <c r="M173" s="172" t="s">
        <v>613</v>
      </c>
      <c r="N173" s="172" t="s">
        <v>620</v>
      </c>
      <c r="O173" s="164" t="s">
        <v>3469</v>
      </c>
      <c r="P173" s="177"/>
      <c r="Q173" s="36"/>
      <c r="R173" s="177"/>
    </row>
    <row r="174" s="93" customFormat="1" customHeight="1" spans="1:18">
      <c r="A174" s="154" t="s">
        <v>621</v>
      </c>
      <c r="B174" s="155" t="s">
        <v>383</v>
      </c>
      <c r="C174" s="156">
        <f t="shared" ref="C174:J174" si="42">SUM(C175:C177)</f>
        <v>107</v>
      </c>
      <c r="D174" s="156">
        <f t="shared" si="42"/>
        <v>107</v>
      </c>
      <c r="E174" s="156">
        <f t="shared" si="42"/>
        <v>0</v>
      </c>
      <c r="F174" s="156">
        <f t="shared" si="42"/>
        <v>0</v>
      </c>
      <c r="G174" s="156">
        <f t="shared" si="42"/>
        <v>0</v>
      </c>
      <c r="H174" s="156">
        <f t="shared" si="42"/>
        <v>0</v>
      </c>
      <c r="I174" s="156">
        <f t="shared" si="42"/>
        <v>0</v>
      </c>
      <c r="J174" s="156">
        <f t="shared" si="42"/>
        <v>0</v>
      </c>
      <c r="K174" s="173" t="s">
        <v>1081</v>
      </c>
      <c r="L174" s="174">
        <v>216</v>
      </c>
      <c r="M174" s="174">
        <v>216</v>
      </c>
      <c r="N174" s="174">
        <f t="shared" ref="N174:R174" si="43">SUM(N175:N177)</f>
        <v>0</v>
      </c>
      <c r="O174" s="175" t="s">
        <v>3483</v>
      </c>
      <c r="P174" s="176">
        <f t="shared" si="43"/>
        <v>0</v>
      </c>
      <c r="Q174" s="156">
        <f t="shared" si="43"/>
        <v>0</v>
      </c>
      <c r="R174" s="178">
        <f t="shared" si="43"/>
        <v>0</v>
      </c>
    </row>
    <row r="175" s="92" customFormat="1" customHeight="1" spans="1:18">
      <c r="A175" s="157" t="s">
        <v>622</v>
      </c>
      <c r="B175" s="161" t="s">
        <v>384</v>
      </c>
      <c r="C175" s="159">
        <f t="shared" ref="C175:C177" si="44">SUM(D175:J175)</f>
        <v>107</v>
      </c>
      <c r="D175" s="159">
        <v>107</v>
      </c>
      <c r="E175" s="159"/>
      <c r="F175" s="159"/>
      <c r="G175" s="159"/>
      <c r="H175" s="159"/>
      <c r="I175" s="159"/>
      <c r="J175" s="159"/>
      <c r="K175" s="171" t="s">
        <v>1082</v>
      </c>
      <c r="L175" s="172" t="s">
        <v>622</v>
      </c>
      <c r="M175" s="172" t="s">
        <v>621</v>
      </c>
      <c r="N175" s="172" t="s">
        <v>622</v>
      </c>
      <c r="O175" s="164" t="s">
        <v>3485</v>
      </c>
      <c r="P175" s="177"/>
      <c r="Q175" s="36"/>
      <c r="R175" s="177"/>
    </row>
    <row r="176" s="92" customFormat="1" customHeight="1" spans="1:18">
      <c r="A176" s="157" t="s">
        <v>623</v>
      </c>
      <c r="B176" s="161" t="s">
        <v>385</v>
      </c>
      <c r="C176" s="159">
        <f t="shared" si="44"/>
        <v>0</v>
      </c>
      <c r="D176" s="159">
        <v>0</v>
      </c>
      <c r="E176" s="159"/>
      <c r="F176" s="159">
        <v>0</v>
      </c>
      <c r="G176" s="159"/>
      <c r="H176" s="159"/>
      <c r="I176" s="159"/>
      <c r="J176" s="159"/>
      <c r="K176" s="171" t="s">
        <v>1082</v>
      </c>
      <c r="L176" s="172" t="s">
        <v>623</v>
      </c>
      <c r="M176" s="172" t="s">
        <v>621</v>
      </c>
      <c r="N176" s="172" t="s">
        <v>623</v>
      </c>
      <c r="O176" s="164" t="s">
        <v>3506</v>
      </c>
      <c r="P176" s="177"/>
      <c r="Q176" s="36"/>
      <c r="R176" s="177"/>
    </row>
    <row r="177" s="92" customFormat="1" customHeight="1" spans="1:18">
      <c r="A177" s="157" t="s">
        <v>624</v>
      </c>
      <c r="B177" s="161" t="s">
        <v>386</v>
      </c>
      <c r="C177" s="159">
        <f t="shared" si="44"/>
        <v>0</v>
      </c>
      <c r="D177" s="159">
        <v>0</v>
      </c>
      <c r="E177" s="159"/>
      <c r="F177" s="159">
        <v>0</v>
      </c>
      <c r="G177" s="159"/>
      <c r="H177" s="159"/>
      <c r="I177" s="159"/>
      <c r="J177" s="159"/>
      <c r="K177" s="171" t="s">
        <v>1082</v>
      </c>
      <c r="L177" s="172" t="s">
        <v>624</v>
      </c>
      <c r="M177" s="172" t="s">
        <v>621</v>
      </c>
      <c r="N177" s="172" t="s">
        <v>624</v>
      </c>
      <c r="O177" s="164" t="s">
        <v>3517</v>
      </c>
      <c r="P177" s="177"/>
      <c r="Q177" s="36"/>
      <c r="R177" s="177"/>
    </row>
    <row r="178" s="93" customFormat="1" customHeight="1" spans="1:18">
      <c r="A178" s="154" t="s">
        <v>625</v>
      </c>
      <c r="B178" s="155" t="s">
        <v>387</v>
      </c>
      <c r="C178" s="156">
        <f t="shared" ref="C178:J178" si="45">SUM(C179:C183)</f>
        <v>0</v>
      </c>
      <c r="D178" s="156">
        <f t="shared" si="45"/>
        <v>0</v>
      </c>
      <c r="E178" s="156">
        <f t="shared" si="45"/>
        <v>0</v>
      </c>
      <c r="F178" s="156">
        <f t="shared" si="45"/>
        <v>0</v>
      </c>
      <c r="G178" s="156">
        <f t="shared" si="45"/>
        <v>0</v>
      </c>
      <c r="H178" s="156">
        <f t="shared" si="45"/>
        <v>0</v>
      </c>
      <c r="I178" s="156">
        <f t="shared" si="45"/>
        <v>0</v>
      </c>
      <c r="J178" s="156">
        <f t="shared" si="45"/>
        <v>0</v>
      </c>
      <c r="K178" s="173" t="s">
        <v>1081</v>
      </c>
      <c r="L178" s="174">
        <v>217</v>
      </c>
      <c r="M178" s="174">
        <v>217</v>
      </c>
      <c r="N178" s="174">
        <f t="shared" ref="N178:R178" si="46">SUM(N179:N183)</f>
        <v>0</v>
      </c>
      <c r="O178" s="175" t="s">
        <v>3522</v>
      </c>
      <c r="P178" s="176">
        <f t="shared" si="46"/>
        <v>0</v>
      </c>
      <c r="Q178" s="156">
        <f t="shared" si="46"/>
        <v>0</v>
      </c>
      <c r="R178" s="178">
        <f t="shared" si="46"/>
        <v>0</v>
      </c>
    </row>
    <row r="179" s="92" customFormat="1" customHeight="1" spans="1:18">
      <c r="A179" s="157" t="s">
        <v>626</v>
      </c>
      <c r="B179" s="161" t="s">
        <v>390</v>
      </c>
      <c r="C179" s="159">
        <f t="shared" ref="C179:C183" si="47">SUM(D179:J179)</f>
        <v>0</v>
      </c>
      <c r="D179" s="159">
        <v>0</v>
      </c>
      <c r="E179" s="159"/>
      <c r="F179" s="159">
        <v>0</v>
      </c>
      <c r="G179" s="159"/>
      <c r="H179" s="159"/>
      <c r="I179" s="159"/>
      <c r="J179" s="159"/>
      <c r="K179" s="171" t="s">
        <v>1082</v>
      </c>
      <c r="L179" s="172" t="s">
        <v>626</v>
      </c>
      <c r="M179" s="172" t="s">
        <v>625</v>
      </c>
      <c r="N179" s="172" t="s">
        <v>626</v>
      </c>
      <c r="O179" s="164" t="s">
        <v>3524</v>
      </c>
      <c r="P179" s="177"/>
      <c r="Q179" s="36"/>
      <c r="R179" s="177"/>
    </row>
    <row r="180" s="92" customFormat="1" customHeight="1" spans="1:18">
      <c r="A180" s="157" t="s">
        <v>3535</v>
      </c>
      <c r="B180" s="161" t="s">
        <v>4175</v>
      </c>
      <c r="C180" s="159">
        <f t="shared" si="47"/>
        <v>0</v>
      </c>
      <c r="D180" s="159"/>
      <c r="E180" s="159"/>
      <c r="F180" s="159"/>
      <c r="G180" s="159"/>
      <c r="H180" s="159"/>
      <c r="I180" s="159"/>
      <c r="J180" s="159"/>
      <c r="K180" s="171" t="s">
        <v>1082</v>
      </c>
      <c r="L180" s="172" t="s">
        <v>3535</v>
      </c>
      <c r="M180" s="172" t="s">
        <v>625</v>
      </c>
      <c r="N180" s="172" t="s">
        <v>3535</v>
      </c>
      <c r="O180" s="164" t="s">
        <v>3537</v>
      </c>
      <c r="P180" s="177"/>
      <c r="Q180" s="36"/>
      <c r="R180" s="177"/>
    </row>
    <row r="181" s="92" customFormat="1" customHeight="1" spans="1:18">
      <c r="A181" s="157" t="s">
        <v>627</v>
      </c>
      <c r="B181" s="161" t="s">
        <v>391</v>
      </c>
      <c r="C181" s="159">
        <f t="shared" si="47"/>
        <v>0</v>
      </c>
      <c r="D181" s="159"/>
      <c r="E181" s="159"/>
      <c r="F181" s="159"/>
      <c r="G181" s="159"/>
      <c r="H181" s="159"/>
      <c r="I181" s="159"/>
      <c r="J181" s="159"/>
      <c r="K181" s="171" t="s">
        <v>1082</v>
      </c>
      <c r="L181" s="172" t="s">
        <v>627</v>
      </c>
      <c r="M181" s="172" t="s">
        <v>625</v>
      </c>
      <c r="N181" s="172" t="s">
        <v>627</v>
      </c>
      <c r="O181" s="164" t="s">
        <v>3566</v>
      </c>
      <c r="P181" s="177"/>
      <c r="Q181" s="36"/>
      <c r="R181" s="177"/>
    </row>
    <row r="182" s="92" customFormat="1" customHeight="1" spans="1:18">
      <c r="A182" s="157" t="s">
        <v>3582</v>
      </c>
      <c r="B182" s="161" t="s">
        <v>4176</v>
      </c>
      <c r="C182" s="159">
        <f t="shared" si="47"/>
        <v>0</v>
      </c>
      <c r="D182" s="159"/>
      <c r="E182" s="159"/>
      <c r="F182" s="159"/>
      <c r="G182" s="159"/>
      <c r="H182" s="159"/>
      <c r="I182" s="159"/>
      <c r="J182" s="159"/>
      <c r="K182" s="171" t="s">
        <v>1082</v>
      </c>
      <c r="L182" s="172" t="s">
        <v>3582</v>
      </c>
      <c r="M182" s="172" t="s">
        <v>625</v>
      </c>
      <c r="N182" s="172" t="s">
        <v>3582</v>
      </c>
      <c r="O182" s="164" t="s">
        <v>3583</v>
      </c>
      <c r="P182" s="177"/>
      <c r="Q182" s="36"/>
      <c r="R182" s="177"/>
    </row>
    <row r="183" s="92" customFormat="1" customHeight="1" spans="1:18">
      <c r="A183" s="157" t="s">
        <v>628</v>
      </c>
      <c r="B183" s="161" t="s">
        <v>392</v>
      </c>
      <c r="C183" s="159">
        <f t="shared" si="47"/>
        <v>0</v>
      </c>
      <c r="D183" s="159">
        <v>0</v>
      </c>
      <c r="E183" s="159"/>
      <c r="F183" s="159">
        <v>0</v>
      </c>
      <c r="G183" s="159"/>
      <c r="H183" s="159"/>
      <c r="I183" s="159"/>
      <c r="J183" s="159"/>
      <c r="K183" s="171" t="s">
        <v>1082</v>
      </c>
      <c r="L183" s="172" t="s">
        <v>628</v>
      </c>
      <c r="M183" s="172" t="s">
        <v>625</v>
      </c>
      <c r="N183" s="172" t="s">
        <v>628</v>
      </c>
      <c r="O183" s="164" t="s">
        <v>3591</v>
      </c>
      <c r="P183" s="177"/>
      <c r="Q183" s="36"/>
      <c r="R183" s="177"/>
    </row>
    <row r="184" s="93" customFormat="1" customHeight="1" spans="1:18">
      <c r="A184" s="154" t="s">
        <v>629</v>
      </c>
      <c r="B184" s="155" t="s">
        <v>393</v>
      </c>
      <c r="C184" s="156">
        <f t="shared" ref="C184:J184" si="48">SUM(C185:C193)</f>
        <v>0</v>
      </c>
      <c r="D184" s="156">
        <f t="shared" si="48"/>
        <v>0</v>
      </c>
      <c r="E184" s="156">
        <f t="shared" si="48"/>
        <v>0</v>
      </c>
      <c r="F184" s="156">
        <f t="shared" si="48"/>
        <v>0</v>
      </c>
      <c r="G184" s="156">
        <f t="shared" si="48"/>
        <v>0</v>
      </c>
      <c r="H184" s="156">
        <f t="shared" si="48"/>
        <v>0</v>
      </c>
      <c r="I184" s="156">
        <f t="shared" si="48"/>
        <v>0</v>
      </c>
      <c r="J184" s="156">
        <f t="shared" si="48"/>
        <v>0</v>
      </c>
      <c r="K184" s="173" t="s">
        <v>1081</v>
      </c>
      <c r="L184" s="174">
        <v>219</v>
      </c>
      <c r="M184" s="174">
        <v>219</v>
      </c>
      <c r="N184" s="174">
        <f t="shared" ref="N184:R184" si="49">SUM(N185:N193)</f>
        <v>0</v>
      </c>
      <c r="O184" s="175" t="s">
        <v>3596</v>
      </c>
      <c r="P184" s="176">
        <f t="shared" si="49"/>
        <v>0</v>
      </c>
      <c r="Q184" s="156">
        <f t="shared" si="49"/>
        <v>0</v>
      </c>
      <c r="R184" s="178">
        <f t="shared" si="49"/>
        <v>0</v>
      </c>
    </row>
    <row r="185" s="92" customFormat="1" customHeight="1" spans="1:18">
      <c r="A185" s="157" t="s">
        <v>630</v>
      </c>
      <c r="B185" s="161" t="s">
        <v>166</v>
      </c>
      <c r="C185" s="159">
        <f t="shared" ref="C185:C193" si="50">SUM(D185:J185)</f>
        <v>0</v>
      </c>
      <c r="D185" s="159">
        <v>0</v>
      </c>
      <c r="E185" s="159"/>
      <c r="F185" s="159">
        <v>0</v>
      </c>
      <c r="G185" s="159"/>
      <c r="H185" s="159"/>
      <c r="I185" s="159"/>
      <c r="J185" s="159"/>
      <c r="K185" s="171" t="s">
        <v>1082</v>
      </c>
      <c r="L185" s="172" t="s">
        <v>630</v>
      </c>
      <c r="M185" s="172" t="s">
        <v>629</v>
      </c>
      <c r="N185" s="172" t="s">
        <v>630</v>
      </c>
      <c r="O185" s="164" t="s">
        <v>3598</v>
      </c>
      <c r="P185" s="177"/>
      <c r="Q185" s="36"/>
      <c r="R185" s="177"/>
    </row>
    <row r="186" s="92" customFormat="1" customHeight="1" spans="1:18">
      <c r="A186" s="157" t="s">
        <v>631</v>
      </c>
      <c r="B186" s="161" t="s">
        <v>170</v>
      </c>
      <c r="C186" s="159">
        <f t="shared" si="50"/>
        <v>0</v>
      </c>
      <c r="D186" s="159">
        <v>0</v>
      </c>
      <c r="E186" s="159"/>
      <c r="F186" s="159">
        <v>0</v>
      </c>
      <c r="G186" s="159"/>
      <c r="H186" s="159"/>
      <c r="I186" s="159"/>
      <c r="J186" s="159"/>
      <c r="K186" s="171" t="s">
        <v>1082</v>
      </c>
      <c r="L186" s="172" t="s">
        <v>631</v>
      </c>
      <c r="M186" s="172" t="s">
        <v>629</v>
      </c>
      <c r="N186" s="172" t="s">
        <v>631</v>
      </c>
      <c r="O186" s="164" t="s">
        <v>3600</v>
      </c>
      <c r="P186" s="177"/>
      <c r="Q186" s="36"/>
      <c r="R186" s="177"/>
    </row>
    <row r="187" s="92" customFormat="1" customHeight="1" spans="1:18">
      <c r="A187" s="157" t="s">
        <v>632</v>
      </c>
      <c r="B187" s="161" t="s">
        <v>173</v>
      </c>
      <c r="C187" s="159">
        <f t="shared" si="50"/>
        <v>0</v>
      </c>
      <c r="D187" s="159">
        <v>0</v>
      </c>
      <c r="E187" s="159"/>
      <c r="F187" s="159">
        <v>0</v>
      </c>
      <c r="G187" s="159"/>
      <c r="H187" s="159"/>
      <c r="I187" s="159"/>
      <c r="J187" s="159"/>
      <c r="K187" s="171" t="s">
        <v>1082</v>
      </c>
      <c r="L187" s="172" t="s">
        <v>632</v>
      </c>
      <c r="M187" s="172" t="s">
        <v>629</v>
      </c>
      <c r="N187" s="172" t="s">
        <v>632</v>
      </c>
      <c r="O187" s="164" t="s">
        <v>3602</v>
      </c>
      <c r="P187" s="177"/>
      <c r="Q187" s="36"/>
      <c r="R187" s="177"/>
    </row>
    <row r="188" s="92" customFormat="1" customHeight="1" spans="1:18">
      <c r="A188" s="157" t="s">
        <v>633</v>
      </c>
      <c r="B188" s="161" t="s">
        <v>176</v>
      </c>
      <c r="C188" s="159">
        <f t="shared" si="50"/>
        <v>0</v>
      </c>
      <c r="D188" s="159">
        <v>0</v>
      </c>
      <c r="E188" s="159"/>
      <c r="F188" s="159">
        <v>0</v>
      </c>
      <c r="G188" s="159"/>
      <c r="H188" s="159"/>
      <c r="I188" s="159"/>
      <c r="J188" s="159"/>
      <c r="K188" s="171" t="s">
        <v>1082</v>
      </c>
      <c r="L188" s="172" t="s">
        <v>633</v>
      </c>
      <c r="M188" s="172" t="s">
        <v>629</v>
      </c>
      <c r="N188" s="172" t="s">
        <v>633</v>
      </c>
      <c r="O188" s="164" t="s">
        <v>3604</v>
      </c>
      <c r="P188" s="177"/>
      <c r="Q188" s="36"/>
      <c r="R188" s="177"/>
    </row>
    <row r="189" s="92" customFormat="1" customHeight="1" spans="1:18">
      <c r="A189" s="157" t="s">
        <v>634</v>
      </c>
      <c r="B189" s="161" t="s">
        <v>177</v>
      </c>
      <c r="C189" s="159">
        <f t="shared" si="50"/>
        <v>0</v>
      </c>
      <c r="D189" s="159">
        <v>0</v>
      </c>
      <c r="E189" s="159"/>
      <c r="F189" s="159">
        <v>0</v>
      </c>
      <c r="G189" s="159"/>
      <c r="H189" s="159"/>
      <c r="I189" s="159"/>
      <c r="J189" s="159"/>
      <c r="K189" s="171" t="s">
        <v>1082</v>
      </c>
      <c r="L189" s="172" t="s">
        <v>634</v>
      </c>
      <c r="M189" s="172" t="s">
        <v>629</v>
      </c>
      <c r="N189" s="172" t="s">
        <v>634</v>
      </c>
      <c r="O189" s="164" t="s">
        <v>3606</v>
      </c>
      <c r="P189" s="177"/>
      <c r="Q189" s="36"/>
      <c r="R189" s="177"/>
    </row>
    <row r="190" s="92" customFormat="1" customHeight="1" spans="1:18">
      <c r="A190" s="157" t="s">
        <v>635</v>
      </c>
      <c r="B190" s="161" t="s">
        <v>394</v>
      </c>
      <c r="C190" s="159">
        <f t="shared" si="50"/>
        <v>0</v>
      </c>
      <c r="D190" s="159">
        <v>0</v>
      </c>
      <c r="E190" s="159"/>
      <c r="F190" s="159">
        <v>0</v>
      </c>
      <c r="G190" s="159"/>
      <c r="H190" s="159"/>
      <c r="I190" s="159"/>
      <c r="J190" s="159"/>
      <c r="K190" s="171" t="s">
        <v>1082</v>
      </c>
      <c r="L190" s="172" t="s">
        <v>635</v>
      </c>
      <c r="M190" s="172" t="s">
        <v>629</v>
      </c>
      <c r="N190" s="172" t="s">
        <v>635</v>
      </c>
      <c r="O190" s="164" t="s">
        <v>2945</v>
      </c>
      <c r="P190" s="177"/>
      <c r="Q190" s="36"/>
      <c r="R190" s="177"/>
    </row>
    <row r="191" s="92" customFormat="1" customHeight="1" spans="1:18">
      <c r="A191" s="157" t="s">
        <v>636</v>
      </c>
      <c r="B191" s="161" t="s">
        <v>180</v>
      </c>
      <c r="C191" s="159">
        <f t="shared" si="50"/>
        <v>0</v>
      </c>
      <c r="D191" s="159">
        <v>0</v>
      </c>
      <c r="E191" s="159"/>
      <c r="F191" s="159">
        <v>0</v>
      </c>
      <c r="G191" s="159"/>
      <c r="H191" s="159"/>
      <c r="I191" s="159"/>
      <c r="J191" s="159"/>
      <c r="K191" s="171" t="s">
        <v>1082</v>
      </c>
      <c r="L191" s="172" t="s">
        <v>636</v>
      </c>
      <c r="M191" s="172" t="s">
        <v>629</v>
      </c>
      <c r="N191" s="172" t="s">
        <v>636</v>
      </c>
      <c r="O191" s="164" t="s">
        <v>3608</v>
      </c>
      <c r="P191" s="177"/>
      <c r="Q191" s="36"/>
      <c r="R191" s="177"/>
    </row>
    <row r="192" s="92" customFormat="1" customHeight="1" spans="1:18">
      <c r="A192" s="157" t="s">
        <v>637</v>
      </c>
      <c r="B192" s="161" t="s">
        <v>186</v>
      </c>
      <c r="C192" s="159">
        <f t="shared" si="50"/>
        <v>0</v>
      </c>
      <c r="D192" s="159">
        <v>0</v>
      </c>
      <c r="E192" s="159"/>
      <c r="F192" s="159">
        <v>0</v>
      </c>
      <c r="G192" s="159"/>
      <c r="H192" s="159"/>
      <c r="I192" s="159"/>
      <c r="J192" s="159"/>
      <c r="K192" s="171" t="s">
        <v>1082</v>
      </c>
      <c r="L192" s="172" t="s">
        <v>637</v>
      </c>
      <c r="M192" s="172" t="s">
        <v>629</v>
      </c>
      <c r="N192" s="172" t="s">
        <v>637</v>
      </c>
      <c r="O192" s="164" t="s">
        <v>3610</v>
      </c>
      <c r="P192" s="177"/>
      <c r="Q192" s="36"/>
      <c r="R192" s="177"/>
    </row>
    <row r="193" s="92" customFormat="1" customHeight="1" spans="1:18">
      <c r="A193" s="157" t="s">
        <v>638</v>
      </c>
      <c r="B193" s="161" t="s">
        <v>189</v>
      </c>
      <c r="C193" s="159">
        <f t="shared" si="50"/>
        <v>0</v>
      </c>
      <c r="D193" s="159">
        <v>0</v>
      </c>
      <c r="E193" s="159"/>
      <c r="F193" s="159">
        <v>0</v>
      </c>
      <c r="G193" s="159"/>
      <c r="H193" s="159"/>
      <c r="I193" s="159"/>
      <c r="J193" s="159"/>
      <c r="K193" s="171" t="s">
        <v>1082</v>
      </c>
      <c r="L193" s="172" t="s">
        <v>638</v>
      </c>
      <c r="M193" s="172" t="s">
        <v>629</v>
      </c>
      <c r="N193" s="172" t="s">
        <v>638</v>
      </c>
      <c r="O193" s="164" t="s">
        <v>1624</v>
      </c>
      <c r="P193" s="177"/>
      <c r="Q193" s="36"/>
      <c r="R193" s="177"/>
    </row>
    <row r="194" s="93" customFormat="1" customHeight="1" spans="1:18">
      <c r="A194" s="154" t="s">
        <v>639</v>
      </c>
      <c r="B194" s="155" t="s">
        <v>395</v>
      </c>
      <c r="C194" s="156">
        <f t="shared" ref="C194:J194" si="51">SUM(C195:C197)</f>
        <v>974</v>
      </c>
      <c r="D194" s="156">
        <f t="shared" si="51"/>
        <v>904</v>
      </c>
      <c r="E194" s="156">
        <f t="shared" si="51"/>
        <v>5</v>
      </c>
      <c r="F194" s="156">
        <f t="shared" si="51"/>
        <v>65</v>
      </c>
      <c r="G194" s="156">
        <f t="shared" si="51"/>
        <v>0</v>
      </c>
      <c r="H194" s="156">
        <f t="shared" si="51"/>
        <v>0</v>
      </c>
      <c r="I194" s="156">
        <f t="shared" si="51"/>
        <v>0</v>
      </c>
      <c r="J194" s="156">
        <f t="shared" si="51"/>
        <v>0</v>
      </c>
      <c r="K194" s="173" t="s">
        <v>1081</v>
      </c>
      <c r="L194" s="174">
        <v>220</v>
      </c>
      <c r="M194" s="174">
        <v>220</v>
      </c>
      <c r="N194" s="174">
        <f t="shared" ref="N194:R194" si="52">SUM(N195:N197)</f>
        <v>0</v>
      </c>
      <c r="O194" s="175" t="s">
        <v>4177</v>
      </c>
      <c r="P194" s="176">
        <f t="shared" si="52"/>
        <v>0</v>
      </c>
      <c r="Q194" s="156">
        <f t="shared" si="52"/>
        <v>0</v>
      </c>
      <c r="R194" s="178">
        <f t="shared" si="52"/>
        <v>0</v>
      </c>
    </row>
    <row r="195" s="92" customFormat="1" customHeight="1" spans="1:18">
      <c r="A195" s="157" t="s">
        <v>640</v>
      </c>
      <c r="B195" s="161" t="s">
        <v>396</v>
      </c>
      <c r="C195" s="159">
        <f t="shared" ref="C195:C197" si="53">SUM(D195:J195)</f>
        <v>888</v>
      </c>
      <c r="D195" s="159">
        <v>818</v>
      </c>
      <c r="E195" s="159">
        <v>5</v>
      </c>
      <c r="F195" s="159">
        <v>65</v>
      </c>
      <c r="G195" s="159"/>
      <c r="H195" s="159"/>
      <c r="I195" s="159"/>
      <c r="J195" s="159"/>
      <c r="K195" s="171" t="s">
        <v>1082</v>
      </c>
      <c r="L195" s="172" t="s">
        <v>640</v>
      </c>
      <c r="M195" s="172" t="s">
        <v>639</v>
      </c>
      <c r="N195" s="172" t="s">
        <v>640</v>
      </c>
      <c r="O195" s="164" t="s">
        <v>3614</v>
      </c>
      <c r="P195" s="177"/>
      <c r="Q195" s="36"/>
      <c r="R195" s="177"/>
    </row>
    <row r="196" s="92" customFormat="1" customHeight="1" spans="1:18">
      <c r="A196" s="157" t="s">
        <v>643</v>
      </c>
      <c r="B196" s="161" t="s">
        <v>399</v>
      </c>
      <c r="C196" s="159">
        <f t="shared" si="53"/>
        <v>86</v>
      </c>
      <c r="D196" s="159">
        <v>86</v>
      </c>
      <c r="E196" s="159"/>
      <c r="F196" s="159"/>
      <c r="G196" s="159"/>
      <c r="H196" s="159"/>
      <c r="I196" s="159"/>
      <c r="J196" s="159"/>
      <c r="K196" s="171" t="s">
        <v>1082</v>
      </c>
      <c r="L196" s="172" t="s">
        <v>643</v>
      </c>
      <c r="M196" s="172" t="s">
        <v>639</v>
      </c>
      <c r="N196" s="172" t="s">
        <v>643</v>
      </c>
      <c r="O196" s="164" t="s">
        <v>3686</v>
      </c>
      <c r="P196" s="177"/>
      <c r="Q196" s="36"/>
      <c r="R196" s="177"/>
    </row>
    <row r="197" s="92" customFormat="1" customHeight="1" spans="1:18">
      <c r="A197" s="157" t="s">
        <v>644</v>
      </c>
      <c r="B197" s="161" t="s">
        <v>400</v>
      </c>
      <c r="C197" s="159">
        <f t="shared" si="53"/>
        <v>0</v>
      </c>
      <c r="D197" s="159">
        <v>0</v>
      </c>
      <c r="E197" s="159"/>
      <c r="F197" s="159">
        <v>0</v>
      </c>
      <c r="G197" s="159"/>
      <c r="H197" s="159"/>
      <c r="I197" s="159"/>
      <c r="J197" s="159"/>
      <c r="K197" s="171" t="s">
        <v>1082</v>
      </c>
      <c r="L197" s="172" t="s">
        <v>644</v>
      </c>
      <c r="M197" s="172" t="s">
        <v>639</v>
      </c>
      <c r="N197" s="172" t="s">
        <v>644</v>
      </c>
      <c r="O197" s="164" t="s">
        <v>3724</v>
      </c>
      <c r="P197" s="177"/>
      <c r="Q197" s="36"/>
      <c r="R197" s="177"/>
    </row>
    <row r="198" s="93" customFormat="1" customHeight="1" spans="1:18">
      <c r="A198" s="154" t="s">
        <v>645</v>
      </c>
      <c r="B198" s="155" t="s">
        <v>401</v>
      </c>
      <c r="C198" s="156">
        <f t="shared" ref="C198:J198" si="54">SUM(C199:C201)</f>
        <v>4831</v>
      </c>
      <c r="D198" s="156">
        <f t="shared" si="54"/>
        <v>3941</v>
      </c>
      <c r="E198" s="156">
        <f t="shared" si="54"/>
        <v>0</v>
      </c>
      <c r="F198" s="156">
        <f t="shared" si="54"/>
        <v>398</v>
      </c>
      <c r="G198" s="156">
        <f t="shared" si="54"/>
        <v>0</v>
      </c>
      <c r="H198" s="156">
        <f t="shared" si="54"/>
        <v>0</v>
      </c>
      <c r="I198" s="156">
        <f t="shared" si="54"/>
        <v>0</v>
      </c>
      <c r="J198" s="156">
        <f t="shared" si="54"/>
        <v>492</v>
      </c>
      <c r="K198" s="173" t="s">
        <v>1081</v>
      </c>
      <c r="L198" s="174">
        <v>221</v>
      </c>
      <c r="M198" s="174">
        <v>221</v>
      </c>
      <c r="N198" s="174">
        <f t="shared" ref="N198:R198" si="55">SUM(N199:N201)</f>
        <v>0</v>
      </c>
      <c r="O198" s="175" t="s">
        <v>3726</v>
      </c>
      <c r="P198" s="176">
        <f t="shared" si="55"/>
        <v>0</v>
      </c>
      <c r="Q198" s="156">
        <f t="shared" si="55"/>
        <v>0</v>
      </c>
      <c r="R198" s="178">
        <f t="shared" si="55"/>
        <v>0</v>
      </c>
    </row>
    <row r="199" s="92" customFormat="1" customHeight="1" spans="1:18">
      <c r="A199" s="157" t="s">
        <v>646</v>
      </c>
      <c r="B199" s="161" t="s">
        <v>402</v>
      </c>
      <c r="C199" s="159">
        <f t="shared" ref="C199:C201" si="56">SUM(D199:J199)</f>
        <v>920</v>
      </c>
      <c r="D199" s="159">
        <v>30</v>
      </c>
      <c r="E199" s="159"/>
      <c r="F199" s="159">
        <v>398</v>
      </c>
      <c r="G199" s="159"/>
      <c r="H199" s="159"/>
      <c r="I199" s="159"/>
      <c r="J199" s="159">
        <v>492</v>
      </c>
      <c r="K199" s="171" t="s">
        <v>1082</v>
      </c>
      <c r="L199" s="172" t="s">
        <v>646</v>
      </c>
      <c r="M199" s="172" t="s">
        <v>645</v>
      </c>
      <c r="N199" s="172" t="s">
        <v>646</v>
      </c>
      <c r="O199" s="164" t="s">
        <v>3728</v>
      </c>
      <c r="P199" s="177"/>
      <c r="Q199" s="36"/>
      <c r="R199" s="177"/>
    </row>
    <row r="200" s="92" customFormat="1" customHeight="1" spans="1:18">
      <c r="A200" s="157" t="s">
        <v>647</v>
      </c>
      <c r="B200" s="161" t="s">
        <v>403</v>
      </c>
      <c r="C200" s="159">
        <f t="shared" si="56"/>
        <v>3911</v>
      </c>
      <c r="D200" s="159">
        <v>3911</v>
      </c>
      <c r="E200" s="159"/>
      <c r="F200" s="159"/>
      <c r="G200" s="159"/>
      <c r="H200" s="159"/>
      <c r="I200" s="159"/>
      <c r="J200" s="159"/>
      <c r="K200" s="171" t="s">
        <v>1082</v>
      </c>
      <c r="L200" s="172" t="s">
        <v>647</v>
      </c>
      <c r="M200" s="172" t="s">
        <v>645</v>
      </c>
      <c r="N200" s="172" t="s">
        <v>647</v>
      </c>
      <c r="O200" s="164" t="s">
        <v>3757</v>
      </c>
      <c r="P200" s="177"/>
      <c r="Q200" s="36"/>
      <c r="R200" s="177"/>
    </row>
    <row r="201" s="92" customFormat="1" customHeight="1" spans="1:18">
      <c r="A201" s="157" t="s">
        <v>648</v>
      </c>
      <c r="B201" s="161" t="s">
        <v>404</v>
      </c>
      <c r="C201" s="159">
        <f t="shared" si="56"/>
        <v>0</v>
      </c>
      <c r="D201" s="159"/>
      <c r="E201" s="159"/>
      <c r="F201" s="159"/>
      <c r="G201" s="159"/>
      <c r="H201" s="159"/>
      <c r="I201" s="159"/>
      <c r="J201" s="159"/>
      <c r="K201" s="171" t="s">
        <v>1082</v>
      </c>
      <c r="L201" s="172" t="s">
        <v>648</v>
      </c>
      <c r="M201" s="172" t="s">
        <v>645</v>
      </c>
      <c r="N201" s="172" t="s">
        <v>648</v>
      </c>
      <c r="O201" s="164" t="s">
        <v>3768</v>
      </c>
      <c r="P201" s="177"/>
      <c r="Q201" s="36"/>
      <c r="R201" s="177"/>
    </row>
    <row r="202" s="93" customFormat="1" customHeight="1" spans="1:18">
      <c r="A202" s="154" t="s">
        <v>649</v>
      </c>
      <c r="B202" s="155" t="s">
        <v>405</v>
      </c>
      <c r="C202" s="156">
        <f t="shared" ref="C202:J202" si="57">SUM(C203:C206)</f>
        <v>97</v>
      </c>
      <c r="D202" s="156">
        <f t="shared" si="57"/>
        <v>97</v>
      </c>
      <c r="E202" s="156">
        <f t="shared" si="57"/>
        <v>0</v>
      </c>
      <c r="F202" s="156">
        <f t="shared" si="57"/>
        <v>0</v>
      </c>
      <c r="G202" s="156">
        <f t="shared" si="57"/>
        <v>0</v>
      </c>
      <c r="H202" s="156">
        <f t="shared" si="57"/>
        <v>0</v>
      </c>
      <c r="I202" s="156">
        <f t="shared" si="57"/>
        <v>0</v>
      </c>
      <c r="J202" s="156">
        <f t="shared" si="57"/>
        <v>0</v>
      </c>
      <c r="K202" s="173" t="s">
        <v>1081</v>
      </c>
      <c r="L202" s="174">
        <v>222</v>
      </c>
      <c r="M202" s="174">
        <v>222</v>
      </c>
      <c r="N202" s="174">
        <f t="shared" ref="N202:R202" si="58">SUM(N203:N206)</f>
        <v>0</v>
      </c>
      <c r="O202" s="175" t="s">
        <v>3778</v>
      </c>
      <c r="P202" s="176">
        <f t="shared" si="58"/>
        <v>0</v>
      </c>
      <c r="Q202" s="156">
        <f t="shared" si="58"/>
        <v>0</v>
      </c>
      <c r="R202" s="178">
        <f t="shared" si="58"/>
        <v>0</v>
      </c>
    </row>
    <row r="203" s="92" customFormat="1" customHeight="1" spans="1:18">
      <c r="A203" s="157" t="s">
        <v>650</v>
      </c>
      <c r="B203" s="161" t="s">
        <v>406</v>
      </c>
      <c r="C203" s="159">
        <f t="shared" ref="C203:C206" si="59">SUM(D203:J203)</f>
        <v>97</v>
      </c>
      <c r="D203" s="159">
        <v>97</v>
      </c>
      <c r="E203" s="159"/>
      <c r="F203" s="159"/>
      <c r="G203" s="159"/>
      <c r="H203" s="159"/>
      <c r="I203" s="159"/>
      <c r="J203" s="159"/>
      <c r="K203" s="171" t="s">
        <v>1082</v>
      </c>
      <c r="L203" s="172" t="s">
        <v>650</v>
      </c>
      <c r="M203" s="172" t="s">
        <v>649</v>
      </c>
      <c r="N203" s="172" t="s">
        <v>650</v>
      </c>
      <c r="O203" s="164" t="s">
        <v>3780</v>
      </c>
      <c r="P203" s="177"/>
      <c r="Q203" s="36"/>
      <c r="R203" s="177"/>
    </row>
    <row r="204" s="92" customFormat="1" customHeight="1" spans="1:18">
      <c r="A204" s="157" t="s">
        <v>651</v>
      </c>
      <c r="B204" s="161" t="s">
        <v>407</v>
      </c>
      <c r="C204" s="159">
        <f t="shared" si="59"/>
        <v>0</v>
      </c>
      <c r="D204" s="159"/>
      <c r="E204" s="159"/>
      <c r="F204" s="159"/>
      <c r="G204" s="159"/>
      <c r="H204" s="159"/>
      <c r="I204" s="159"/>
      <c r="J204" s="159"/>
      <c r="K204" s="171" t="s">
        <v>1082</v>
      </c>
      <c r="L204" s="172" t="s">
        <v>651</v>
      </c>
      <c r="M204" s="172" t="s">
        <v>649</v>
      </c>
      <c r="N204" s="172" t="s">
        <v>651</v>
      </c>
      <c r="O204" s="164" t="s">
        <v>3825</v>
      </c>
      <c r="P204" s="177"/>
      <c r="Q204" s="36"/>
      <c r="R204" s="177"/>
    </row>
    <row r="205" s="92" customFormat="1" customHeight="1" spans="1:18">
      <c r="A205" s="157" t="s">
        <v>652</v>
      </c>
      <c r="B205" s="161" t="s">
        <v>408</v>
      </c>
      <c r="C205" s="159">
        <f t="shared" si="59"/>
        <v>0</v>
      </c>
      <c r="D205" s="159"/>
      <c r="E205" s="159"/>
      <c r="F205" s="159"/>
      <c r="G205" s="159"/>
      <c r="H205" s="159"/>
      <c r="I205" s="159"/>
      <c r="J205" s="159"/>
      <c r="K205" s="171" t="s">
        <v>1082</v>
      </c>
      <c r="L205" s="172" t="s">
        <v>652</v>
      </c>
      <c r="M205" s="172" t="s">
        <v>649</v>
      </c>
      <c r="N205" s="172" t="s">
        <v>652</v>
      </c>
      <c r="O205" s="164" t="s">
        <v>3845</v>
      </c>
      <c r="P205" s="177"/>
      <c r="Q205" s="36"/>
      <c r="R205" s="177"/>
    </row>
    <row r="206" s="92" customFormat="1" customHeight="1" spans="1:18">
      <c r="A206" s="157" t="s">
        <v>653</v>
      </c>
      <c r="B206" s="161" t="s">
        <v>409</v>
      </c>
      <c r="C206" s="159">
        <f t="shared" si="59"/>
        <v>0</v>
      </c>
      <c r="D206" s="159"/>
      <c r="E206" s="159"/>
      <c r="F206" s="159"/>
      <c r="G206" s="159"/>
      <c r="H206" s="159"/>
      <c r="I206" s="159"/>
      <c r="J206" s="159"/>
      <c r="K206" s="171" t="s">
        <v>1082</v>
      </c>
      <c r="L206" s="172" t="s">
        <v>653</v>
      </c>
      <c r="M206" s="172" t="s">
        <v>649</v>
      </c>
      <c r="N206" s="172" t="s">
        <v>653</v>
      </c>
      <c r="O206" s="164" t="s">
        <v>3862</v>
      </c>
      <c r="P206" s="177"/>
      <c r="Q206" s="36"/>
      <c r="R206" s="177"/>
    </row>
    <row r="207" s="93" customFormat="1" customHeight="1" spans="1:18">
      <c r="A207" s="154" t="s">
        <v>654</v>
      </c>
      <c r="B207" s="155" t="s">
        <v>410</v>
      </c>
      <c r="C207" s="156">
        <f t="shared" ref="C207:J207" si="60">SUM(C208:C214)</f>
        <v>3285</v>
      </c>
      <c r="D207" s="156">
        <f t="shared" si="60"/>
        <v>1375</v>
      </c>
      <c r="E207" s="156">
        <f t="shared" si="60"/>
        <v>60</v>
      </c>
      <c r="F207" s="156">
        <f t="shared" si="60"/>
        <v>1850</v>
      </c>
      <c r="G207" s="156">
        <f t="shared" si="60"/>
        <v>0</v>
      </c>
      <c r="H207" s="156">
        <f t="shared" si="60"/>
        <v>0</v>
      </c>
      <c r="I207" s="156">
        <f t="shared" si="60"/>
        <v>0</v>
      </c>
      <c r="J207" s="156">
        <f t="shared" si="60"/>
        <v>0</v>
      </c>
      <c r="K207" s="173" t="s">
        <v>1081</v>
      </c>
      <c r="L207" s="174">
        <v>224</v>
      </c>
      <c r="M207" s="174">
        <v>224</v>
      </c>
      <c r="N207" s="174">
        <f t="shared" ref="N207:R207" si="61">SUM(N208:N214)</f>
        <v>0</v>
      </c>
      <c r="O207" s="175" t="s">
        <v>3899</v>
      </c>
      <c r="P207" s="176">
        <f t="shared" si="61"/>
        <v>0</v>
      </c>
      <c r="Q207" s="156">
        <f t="shared" si="61"/>
        <v>0</v>
      </c>
      <c r="R207" s="178">
        <f t="shared" si="61"/>
        <v>0</v>
      </c>
    </row>
    <row r="208" s="92" customFormat="1" customHeight="1" spans="1:18">
      <c r="A208" s="181" t="s">
        <v>655</v>
      </c>
      <c r="B208" s="161" t="s">
        <v>411</v>
      </c>
      <c r="C208" s="159">
        <f t="shared" ref="C208:C215" si="62">SUM(D208:J208)</f>
        <v>467</v>
      </c>
      <c r="D208" s="159">
        <v>467</v>
      </c>
      <c r="E208" s="159"/>
      <c r="F208" s="159"/>
      <c r="G208" s="159"/>
      <c r="H208" s="159"/>
      <c r="I208" s="159"/>
      <c r="J208" s="159"/>
      <c r="K208" s="171" t="s">
        <v>1082</v>
      </c>
      <c r="L208" s="184" t="s">
        <v>655</v>
      </c>
      <c r="M208" s="184" t="s">
        <v>654</v>
      </c>
      <c r="N208" s="184" t="s">
        <v>655</v>
      </c>
      <c r="O208" s="164" t="s">
        <v>3901</v>
      </c>
      <c r="P208" s="177"/>
      <c r="Q208" s="36"/>
      <c r="R208" s="177"/>
    </row>
    <row r="209" s="92" customFormat="1" customHeight="1" spans="1:18">
      <c r="A209" s="181" t="s">
        <v>656</v>
      </c>
      <c r="B209" s="161" t="s">
        <v>4178</v>
      </c>
      <c r="C209" s="159">
        <f t="shared" si="62"/>
        <v>908</v>
      </c>
      <c r="D209" s="159">
        <v>908</v>
      </c>
      <c r="E209" s="159"/>
      <c r="F209" s="159"/>
      <c r="G209" s="159"/>
      <c r="H209" s="159"/>
      <c r="I209" s="159"/>
      <c r="J209" s="159"/>
      <c r="K209" s="171" t="s">
        <v>1082</v>
      </c>
      <c r="L209" s="184" t="s">
        <v>656</v>
      </c>
      <c r="M209" s="184" t="s">
        <v>654</v>
      </c>
      <c r="N209" s="184" t="s">
        <v>656</v>
      </c>
      <c r="O209" s="164" t="s">
        <v>4179</v>
      </c>
      <c r="P209" s="177"/>
      <c r="Q209" s="36"/>
      <c r="R209" s="177"/>
    </row>
    <row r="210" s="92" customFormat="1" customHeight="1" spans="1:18">
      <c r="A210" s="181" t="s">
        <v>658</v>
      </c>
      <c r="B210" s="161" t="s">
        <v>4180</v>
      </c>
      <c r="C210" s="159">
        <f t="shared" si="62"/>
        <v>0</v>
      </c>
      <c r="D210" s="159"/>
      <c r="E210" s="159"/>
      <c r="F210" s="159"/>
      <c r="G210" s="159"/>
      <c r="H210" s="159"/>
      <c r="I210" s="159"/>
      <c r="J210" s="159"/>
      <c r="K210" s="171" t="s">
        <v>1082</v>
      </c>
      <c r="L210" s="184" t="s">
        <v>658</v>
      </c>
      <c r="M210" s="184" t="s">
        <v>654</v>
      </c>
      <c r="N210" s="184" t="s">
        <v>658</v>
      </c>
      <c r="O210" s="164" t="s">
        <v>3937</v>
      </c>
      <c r="P210" s="177"/>
      <c r="Q210" s="36"/>
      <c r="R210" s="177"/>
    </row>
    <row r="211" s="92" customFormat="1" customHeight="1" spans="1:18">
      <c r="A211" s="181" t="s">
        <v>659</v>
      </c>
      <c r="B211" s="161" t="s">
        <v>415</v>
      </c>
      <c r="C211" s="159">
        <f t="shared" si="62"/>
        <v>0</v>
      </c>
      <c r="D211" s="159"/>
      <c r="E211" s="159"/>
      <c r="F211" s="159"/>
      <c r="G211" s="159"/>
      <c r="H211" s="159"/>
      <c r="I211" s="159"/>
      <c r="J211" s="159"/>
      <c r="K211" s="171" t="s">
        <v>1082</v>
      </c>
      <c r="L211" s="184" t="s">
        <v>659</v>
      </c>
      <c r="M211" s="184" t="s">
        <v>654</v>
      </c>
      <c r="N211" s="184" t="s">
        <v>659</v>
      </c>
      <c r="O211" s="164" t="s">
        <v>3952</v>
      </c>
      <c r="P211" s="177"/>
      <c r="Q211" s="36"/>
      <c r="R211" s="177"/>
    </row>
    <row r="212" s="92" customFormat="1" customHeight="1" spans="1:18">
      <c r="A212" s="181" t="s">
        <v>660</v>
      </c>
      <c r="B212" s="161" t="s">
        <v>416</v>
      </c>
      <c r="C212" s="159">
        <f t="shared" si="62"/>
        <v>1317</v>
      </c>
      <c r="D212" s="159"/>
      <c r="E212" s="159">
        <v>60</v>
      </c>
      <c r="F212" s="159">
        <v>1257</v>
      </c>
      <c r="G212" s="159"/>
      <c r="H212" s="159"/>
      <c r="I212" s="159"/>
      <c r="J212" s="159"/>
      <c r="K212" s="171"/>
      <c r="L212" s="184" t="s">
        <v>660</v>
      </c>
      <c r="M212" s="184" t="s">
        <v>654</v>
      </c>
      <c r="N212" s="184" t="s">
        <v>660</v>
      </c>
      <c r="O212" s="164" t="s">
        <v>3984</v>
      </c>
      <c r="P212" s="177"/>
      <c r="Q212" s="36"/>
      <c r="R212" s="177"/>
    </row>
    <row r="213" s="92" customFormat="1" customHeight="1" spans="1:18">
      <c r="A213" s="181" t="s">
        <v>661</v>
      </c>
      <c r="B213" s="161" t="s">
        <v>417</v>
      </c>
      <c r="C213" s="159">
        <f t="shared" si="62"/>
        <v>84</v>
      </c>
      <c r="D213" s="159"/>
      <c r="E213" s="159"/>
      <c r="F213" s="159">
        <v>84</v>
      </c>
      <c r="G213" s="159"/>
      <c r="H213" s="159"/>
      <c r="I213" s="159"/>
      <c r="J213" s="159"/>
      <c r="K213" s="171"/>
      <c r="L213" s="184" t="s">
        <v>661</v>
      </c>
      <c r="M213" s="184" t="s">
        <v>654</v>
      </c>
      <c r="N213" s="184" t="s">
        <v>661</v>
      </c>
      <c r="O213" s="164" t="s">
        <v>3995</v>
      </c>
      <c r="P213" s="177"/>
      <c r="Q213" s="36"/>
      <c r="R213" s="177"/>
    </row>
    <row r="214" s="92" customFormat="1" customHeight="1" spans="1:18">
      <c r="A214" s="181" t="s">
        <v>662</v>
      </c>
      <c r="B214" s="161" t="s">
        <v>418</v>
      </c>
      <c r="C214" s="159">
        <f t="shared" si="62"/>
        <v>509</v>
      </c>
      <c r="D214" s="159"/>
      <c r="E214" s="159"/>
      <c r="F214" s="159">
        <v>509</v>
      </c>
      <c r="G214" s="159"/>
      <c r="H214" s="159"/>
      <c r="I214" s="159"/>
      <c r="J214" s="159"/>
      <c r="K214" s="171"/>
      <c r="L214" s="184" t="s">
        <v>662</v>
      </c>
      <c r="M214" s="184" t="s">
        <v>654</v>
      </c>
      <c r="N214" s="184" t="s">
        <v>662</v>
      </c>
      <c r="O214" s="164" t="s">
        <v>4006</v>
      </c>
      <c r="P214" s="177"/>
      <c r="Q214" s="36"/>
      <c r="R214" s="177"/>
    </row>
    <row r="215" s="93" customFormat="1" customHeight="1" spans="1:18">
      <c r="A215" s="154" t="s">
        <v>663</v>
      </c>
      <c r="B215" s="155" t="s">
        <v>419</v>
      </c>
      <c r="C215" s="156">
        <f t="shared" si="62"/>
        <v>4623</v>
      </c>
      <c r="D215" s="156">
        <v>4623</v>
      </c>
      <c r="E215" s="156"/>
      <c r="F215" s="156">
        <v>0</v>
      </c>
      <c r="G215" s="156"/>
      <c r="H215" s="156"/>
      <c r="I215" s="156"/>
      <c r="J215" s="156"/>
      <c r="K215" s="173" t="s">
        <v>1081</v>
      </c>
      <c r="L215" s="174" t="s">
        <v>663</v>
      </c>
      <c r="M215" s="174" t="s">
        <v>663</v>
      </c>
      <c r="N215" s="174" t="s">
        <v>663</v>
      </c>
      <c r="O215" s="175" t="s">
        <v>4008</v>
      </c>
      <c r="P215" s="176"/>
      <c r="Q215" s="156"/>
      <c r="R215" s="178"/>
    </row>
    <row r="216" s="93" customFormat="1" customHeight="1" spans="1:18">
      <c r="A216" s="154" t="s">
        <v>664</v>
      </c>
      <c r="B216" s="155" t="s">
        <v>420</v>
      </c>
      <c r="C216" s="156">
        <f t="shared" ref="C216:J216" si="63">SUM(C217:C218)</f>
        <v>686</v>
      </c>
      <c r="D216" s="156">
        <f t="shared" si="63"/>
        <v>686</v>
      </c>
      <c r="E216" s="156">
        <f t="shared" si="63"/>
        <v>0</v>
      </c>
      <c r="F216" s="156">
        <f t="shared" si="63"/>
        <v>0</v>
      </c>
      <c r="G216" s="156">
        <f t="shared" si="63"/>
        <v>0</v>
      </c>
      <c r="H216" s="156">
        <f t="shared" si="63"/>
        <v>0</v>
      </c>
      <c r="I216" s="156">
        <f t="shared" si="63"/>
        <v>0</v>
      </c>
      <c r="J216" s="156">
        <f t="shared" si="63"/>
        <v>0</v>
      </c>
      <c r="K216" s="173" t="s">
        <v>1081</v>
      </c>
      <c r="L216" s="174" t="s">
        <v>664</v>
      </c>
      <c r="M216" s="174" t="s">
        <v>664</v>
      </c>
      <c r="N216" s="174" t="s">
        <v>664</v>
      </c>
      <c r="O216" s="175" t="s">
        <v>1624</v>
      </c>
      <c r="P216" s="176"/>
      <c r="Q216" s="156"/>
      <c r="R216" s="178"/>
    </row>
    <row r="217" s="92" customFormat="1" customHeight="1" spans="1:18">
      <c r="A217" s="157" t="s">
        <v>665</v>
      </c>
      <c r="B217" s="161" t="s">
        <v>4012</v>
      </c>
      <c r="C217" s="159">
        <f t="shared" ref="C217:C222" si="64">SUM(D217:J217)</f>
        <v>686</v>
      </c>
      <c r="D217" s="159">
        <v>686</v>
      </c>
      <c r="E217" s="159"/>
      <c r="F217" s="159"/>
      <c r="G217" s="159"/>
      <c r="H217" s="159"/>
      <c r="I217" s="159"/>
      <c r="J217" s="159"/>
      <c r="K217" s="171" t="s">
        <v>1082</v>
      </c>
      <c r="L217" s="172" t="s">
        <v>665</v>
      </c>
      <c r="M217" s="172" t="s">
        <v>664</v>
      </c>
      <c r="N217" s="172" t="s">
        <v>665</v>
      </c>
      <c r="O217" s="164" t="s">
        <v>4010</v>
      </c>
      <c r="P217" s="177"/>
      <c r="Q217" s="36"/>
      <c r="R217" s="177"/>
    </row>
    <row r="218" s="92" customFormat="1" customHeight="1" spans="1:18">
      <c r="A218" s="157" t="s">
        <v>666</v>
      </c>
      <c r="B218" s="161" t="s">
        <v>189</v>
      </c>
      <c r="C218" s="159">
        <f t="shared" si="64"/>
        <v>0</v>
      </c>
      <c r="D218" s="159">
        <v>0</v>
      </c>
      <c r="E218" s="159"/>
      <c r="F218" s="159"/>
      <c r="G218" s="159"/>
      <c r="H218" s="159"/>
      <c r="I218" s="159"/>
      <c r="J218" s="159"/>
      <c r="K218" s="171" t="s">
        <v>1082</v>
      </c>
      <c r="L218" s="172" t="s">
        <v>666</v>
      </c>
      <c r="M218" s="172" t="s">
        <v>664</v>
      </c>
      <c r="N218" s="172" t="s">
        <v>666</v>
      </c>
      <c r="O218" s="164" t="s">
        <v>1624</v>
      </c>
      <c r="P218" s="177"/>
      <c r="Q218" s="36"/>
      <c r="R218" s="177"/>
    </row>
    <row r="219" s="93" customFormat="1" customHeight="1" spans="1:18">
      <c r="A219" s="154" t="s">
        <v>671</v>
      </c>
      <c r="B219" s="155" t="s">
        <v>4014</v>
      </c>
      <c r="C219" s="156">
        <f t="shared" ref="C219:J219" si="65">SUM(C220:C222)</f>
        <v>0</v>
      </c>
      <c r="D219" s="156">
        <f t="shared" si="65"/>
        <v>0</v>
      </c>
      <c r="E219" s="156">
        <f t="shared" si="65"/>
        <v>0</v>
      </c>
      <c r="F219" s="156">
        <f t="shared" si="65"/>
        <v>0</v>
      </c>
      <c r="G219" s="156">
        <f t="shared" si="65"/>
        <v>0</v>
      </c>
      <c r="H219" s="156">
        <f t="shared" si="65"/>
        <v>0</v>
      </c>
      <c r="I219" s="156">
        <f t="shared" si="65"/>
        <v>0</v>
      </c>
      <c r="J219" s="156">
        <f t="shared" si="65"/>
        <v>0</v>
      </c>
      <c r="K219" s="173" t="s">
        <v>1081</v>
      </c>
      <c r="L219" s="174">
        <v>231</v>
      </c>
      <c r="M219" s="174">
        <v>231</v>
      </c>
      <c r="N219" s="174">
        <v>231</v>
      </c>
      <c r="O219" s="175"/>
      <c r="P219" s="176"/>
      <c r="Q219" s="156"/>
      <c r="R219" s="178"/>
    </row>
    <row r="220" s="92" customFormat="1" customHeight="1" spans="1:18">
      <c r="A220" s="157" t="s">
        <v>672</v>
      </c>
      <c r="B220" s="182" t="s">
        <v>673</v>
      </c>
      <c r="C220" s="159">
        <f t="shared" si="64"/>
        <v>0</v>
      </c>
      <c r="D220" s="159"/>
      <c r="E220" s="159"/>
      <c r="F220" s="159"/>
      <c r="G220" s="159"/>
      <c r="H220" s="159"/>
      <c r="I220" s="159"/>
      <c r="J220" s="159"/>
      <c r="K220" s="171" t="s">
        <v>1082</v>
      </c>
      <c r="L220" s="157" t="s">
        <v>672</v>
      </c>
      <c r="M220" s="172"/>
      <c r="N220" s="172"/>
      <c r="O220" s="164"/>
      <c r="P220" s="177"/>
      <c r="Q220" s="36"/>
      <c r="R220" s="177"/>
    </row>
    <row r="221" s="92" customFormat="1" customHeight="1" spans="1:18">
      <c r="A221" s="157" t="s">
        <v>674</v>
      </c>
      <c r="B221" s="182" t="s">
        <v>675</v>
      </c>
      <c r="C221" s="159">
        <f t="shared" si="64"/>
        <v>0</v>
      </c>
      <c r="D221" s="159"/>
      <c r="E221" s="159"/>
      <c r="F221" s="159"/>
      <c r="G221" s="159"/>
      <c r="H221" s="159"/>
      <c r="I221" s="159"/>
      <c r="J221" s="159"/>
      <c r="K221" s="171" t="s">
        <v>1082</v>
      </c>
      <c r="L221" s="157" t="s">
        <v>674</v>
      </c>
      <c r="M221" s="172"/>
      <c r="N221" s="172"/>
      <c r="O221" s="164"/>
      <c r="P221" s="177"/>
      <c r="Q221" s="36"/>
      <c r="R221" s="177"/>
    </row>
    <row r="222" s="92" customFormat="1" customHeight="1" spans="1:18">
      <c r="A222" s="183" t="s">
        <v>676</v>
      </c>
      <c r="B222" s="182" t="s">
        <v>195</v>
      </c>
      <c r="C222" s="159">
        <f t="shared" si="64"/>
        <v>0</v>
      </c>
      <c r="D222" s="159"/>
      <c r="E222" s="159"/>
      <c r="F222" s="159"/>
      <c r="G222" s="159"/>
      <c r="H222" s="159"/>
      <c r="I222" s="159"/>
      <c r="J222" s="159"/>
      <c r="K222" s="171" t="s">
        <v>1082</v>
      </c>
      <c r="L222" s="183" t="s">
        <v>676</v>
      </c>
      <c r="M222" s="172"/>
      <c r="N222" s="172"/>
      <c r="O222" s="164"/>
      <c r="P222" s="177"/>
      <c r="Q222" s="36"/>
      <c r="R222" s="177"/>
    </row>
    <row r="223" s="93" customFormat="1" customHeight="1" spans="1:18">
      <c r="A223" s="154" t="s">
        <v>677</v>
      </c>
      <c r="B223" s="155" t="s">
        <v>4181</v>
      </c>
      <c r="C223" s="156">
        <f t="shared" ref="C223:R223" si="66">C224</f>
        <v>5977</v>
      </c>
      <c r="D223" s="156">
        <f t="shared" si="66"/>
        <v>5977</v>
      </c>
      <c r="E223" s="156">
        <f t="shared" si="66"/>
        <v>0</v>
      </c>
      <c r="F223" s="156">
        <f t="shared" si="66"/>
        <v>0</v>
      </c>
      <c r="G223" s="156">
        <f t="shared" si="66"/>
        <v>0</v>
      </c>
      <c r="H223" s="156">
        <f t="shared" si="66"/>
        <v>0</v>
      </c>
      <c r="I223" s="156">
        <f t="shared" si="66"/>
        <v>0</v>
      </c>
      <c r="J223" s="156">
        <f t="shared" si="66"/>
        <v>0</v>
      </c>
      <c r="K223" s="173" t="str">
        <f t="shared" si="66"/>
        <v>款</v>
      </c>
      <c r="L223" s="174" t="str">
        <f t="shared" si="66"/>
        <v>23203</v>
      </c>
      <c r="M223" s="174" t="str">
        <f t="shared" si="66"/>
        <v>232</v>
      </c>
      <c r="N223" s="174" t="str">
        <f t="shared" si="66"/>
        <v>23203</v>
      </c>
      <c r="O223" s="175" t="str">
        <f t="shared" si="66"/>
        <v>地方政府一般债务付息支出</v>
      </c>
      <c r="P223" s="176">
        <f t="shared" si="66"/>
        <v>0</v>
      </c>
      <c r="Q223" s="156">
        <f t="shared" si="66"/>
        <v>0</v>
      </c>
      <c r="R223" s="178">
        <f t="shared" si="66"/>
        <v>0</v>
      </c>
    </row>
    <row r="224" s="92" customFormat="1" customHeight="1" spans="1:18">
      <c r="A224" s="157" t="s">
        <v>678</v>
      </c>
      <c r="B224" s="161" t="s">
        <v>430</v>
      </c>
      <c r="C224" s="159">
        <f t="shared" ref="C224:C228" si="67">SUM(D224:J224)</f>
        <v>5977</v>
      </c>
      <c r="D224" s="159">
        <v>5977</v>
      </c>
      <c r="E224" s="159"/>
      <c r="F224" s="159"/>
      <c r="G224" s="159"/>
      <c r="H224" s="159"/>
      <c r="I224" s="159"/>
      <c r="J224" s="159"/>
      <c r="K224" s="171" t="s">
        <v>1082</v>
      </c>
      <c r="L224" s="172" t="s">
        <v>678</v>
      </c>
      <c r="M224" s="172" t="s">
        <v>677</v>
      </c>
      <c r="N224" s="172" t="s">
        <v>678</v>
      </c>
      <c r="O224" s="164" t="s">
        <v>4017</v>
      </c>
      <c r="P224" s="177"/>
      <c r="Q224" s="36"/>
      <c r="R224" s="177"/>
    </row>
    <row r="225" s="93" customFormat="1" customHeight="1" spans="1:18">
      <c r="A225" s="154" t="s">
        <v>680</v>
      </c>
      <c r="B225" s="155" t="s">
        <v>4182</v>
      </c>
      <c r="C225" s="156">
        <f t="shared" si="67"/>
        <v>0</v>
      </c>
      <c r="D225" s="156">
        <v>0</v>
      </c>
      <c r="E225" s="156"/>
      <c r="F225" s="156"/>
      <c r="G225" s="156"/>
      <c r="H225" s="156"/>
      <c r="I225" s="156"/>
      <c r="J225" s="156"/>
      <c r="K225" s="173" t="s">
        <v>1081</v>
      </c>
      <c r="L225" s="174" t="s">
        <v>680</v>
      </c>
      <c r="M225" s="174" t="s">
        <v>680</v>
      </c>
      <c r="N225" s="174" t="s">
        <v>680</v>
      </c>
      <c r="O225" s="175" t="s">
        <v>4041</v>
      </c>
      <c r="P225" s="176"/>
      <c r="Q225" s="156"/>
      <c r="R225" s="178"/>
    </row>
    <row r="226" s="92" customFormat="1" customHeight="1" spans="1:18">
      <c r="A226" s="36">
        <v>23303</v>
      </c>
      <c r="B226" s="161" t="s">
        <v>432</v>
      </c>
      <c r="C226" s="159"/>
      <c r="D226" s="159"/>
      <c r="E226" s="159"/>
      <c r="F226" s="159"/>
      <c r="G226" s="159"/>
      <c r="H226" s="159"/>
      <c r="I226" s="159"/>
      <c r="J226" s="159"/>
      <c r="K226" s="171" t="s">
        <v>1082</v>
      </c>
      <c r="L226" s="185" t="s">
        <v>681</v>
      </c>
      <c r="M226" s="172" t="s">
        <v>680</v>
      </c>
      <c r="N226" s="172" t="s">
        <v>681</v>
      </c>
      <c r="O226" s="186" t="s">
        <v>4043</v>
      </c>
      <c r="P226" s="177"/>
      <c r="Q226" s="195"/>
      <c r="R226" s="177"/>
    </row>
    <row r="227" s="92" customFormat="1" customHeight="1" spans="1:18">
      <c r="A227" s="36"/>
      <c r="B227" s="161"/>
      <c r="C227" s="159"/>
      <c r="D227" s="159"/>
      <c r="E227" s="159"/>
      <c r="F227" s="159"/>
      <c r="G227" s="159"/>
      <c r="H227" s="159"/>
      <c r="I227" s="159"/>
      <c r="J227" s="187"/>
      <c r="K227" s="171"/>
      <c r="L227" s="188"/>
      <c r="M227" s="188"/>
      <c r="N227" s="188"/>
      <c r="O227" s="189"/>
      <c r="P227" s="177"/>
      <c r="Q227" s="177"/>
      <c r="R227" s="177"/>
    </row>
    <row r="228" s="125" customFormat="1" customHeight="1" spans="1:23">
      <c r="A228" s="36"/>
      <c r="B228" s="123" t="s">
        <v>433</v>
      </c>
      <c r="C228" s="159">
        <f t="shared" si="67"/>
        <v>365680</v>
      </c>
      <c r="D228" s="159">
        <f t="shared" ref="D228:J228" si="68">D5+D35+D45+D51+D63+D74+D85+D92+D114+D129+D144+D151+D160+D166+D174+D178+D184+D194+D198+D202+D207+D215+D223+D225+D216+D219</f>
        <v>172706</v>
      </c>
      <c r="E228" s="159">
        <f t="shared" si="68"/>
        <v>1373</v>
      </c>
      <c r="F228" s="159">
        <f t="shared" si="68"/>
        <v>102871</v>
      </c>
      <c r="G228" s="159">
        <f t="shared" si="68"/>
        <v>11463</v>
      </c>
      <c r="H228" s="159">
        <f t="shared" si="68"/>
        <v>2151</v>
      </c>
      <c r="I228" s="159">
        <f t="shared" si="68"/>
        <v>0</v>
      </c>
      <c r="J228" s="159">
        <f t="shared" si="68"/>
        <v>75116</v>
      </c>
      <c r="K228" s="171"/>
      <c r="L228" s="190"/>
      <c r="M228" s="190"/>
      <c r="N228" s="190"/>
      <c r="O228" s="191"/>
      <c r="P228" s="192">
        <f t="shared" ref="P228:R228" si="69">P5+P35+P45+P51+P63+P74+P85+P92+P114+P129+P144+P151+P160+P166+P174+P178+P184+P194+P198+P202+P207+P215+P223+P225+P216</f>
        <v>0</v>
      </c>
      <c r="Q228" s="192">
        <f t="shared" si="69"/>
        <v>0</v>
      </c>
      <c r="R228" s="192">
        <f t="shared" si="69"/>
        <v>0</v>
      </c>
      <c r="U228" s="192"/>
      <c r="W228" s="92"/>
    </row>
    <row r="229" s="125" customFormat="1" customHeight="1" spans="11:18">
      <c r="K229" s="147"/>
      <c r="L229" s="193"/>
      <c r="M229" s="193"/>
      <c r="N229" s="193"/>
      <c r="O229" s="194"/>
      <c r="P229" s="150"/>
      <c r="Q229" s="150"/>
      <c r="R229" s="150"/>
    </row>
  </sheetData>
  <autoFilter xmlns:etc="http://www.wps.cn/officeDocument/2017/etCustomData" ref="A4:Q226" etc:filterBottomFollowUsedRange="0">
    <extLst/>
  </autoFilter>
  <mergeCells count="12">
    <mergeCell ref="A1:J1"/>
    <mergeCell ref="A3:A4"/>
    <mergeCell ref="B3:B4"/>
    <mergeCell ref="C3:C4"/>
    <mergeCell ref="D3:D4"/>
    <mergeCell ref="E3:E4"/>
    <mergeCell ref="F3:F4"/>
    <mergeCell ref="G3:G4"/>
    <mergeCell ref="H3:H4"/>
    <mergeCell ref="I3:I4"/>
    <mergeCell ref="J3:J4"/>
    <mergeCell ref="Q3:Q4"/>
  </mergeCells>
  <printOptions horizontalCentered="1" verticalCentered="1"/>
  <pageMargins left="0.511811023622047" right="0.511811023622047" top="0.551181102362205" bottom="0.748031496062992" header="0.31496062992126" footer="0.31496062992126"/>
  <pageSetup paperSize="9" scale="63" fitToHeight="999" orientation="portrait" blackAndWhite="1"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zoomScale="85" zoomScaleNormal="85" workbookViewId="0">
      <selection activeCell="D10" sqref="D10"/>
    </sheetView>
  </sheetViews>
  <sheetFormatPr defaultColWidth="12.125" defaultRowHeight="16.9" customHeight="1" outlineLevelCol="5"/>
  <cols>
    <col min="1" max="1" width="36.25" style="91" customWidth="1"/>
    <col min="2" max="2" width="11.5" style="91" customWidth="1"/>
    <col min="3" max="3" width="12.5" style="91" customWidth="1"/>
    <col min="4" max="6" width="14.125" style="91" customWidth="1"/>
    <col min="7" max="16384" width="12.125" style="91"/>
  </cols>
  <sheetData>
    <row r="1" s="91" customFormat="1" ht="23" spans="1:6">
      <c r="A1" s="94" t="s">
        <v>4183</v>
      </c>
      <c r="B1" s="94"/>
      <c r="C1" s="94"/>
      <c r="D1" s="94"/>
      <c r="E1" s="94"/>
      <c r="F1" s="94"/>
    </row>
    <row r="2" s="91" customFormat="1" ht="15" spans="1:6">
      <c r="A2" s="95"/>
      <c r="B2" s="95"/>
      <c r="C2" s="95"/>
      <c r="D2" s="95"/>
      <c r="E2" s="95"/>
      <c r="F2" s="95"/>
    </row>
    <row r="3" s="91" customFormat="1" ht="15" spans="1:6">
      <c r="A3" s="96"/>
      <c r="B3" s="96"/>
      <c r="C3" s="96"/>
      <c r="D3" s="96"/>
      <c r="E3" s="96"/>
      <c r="F3" s="96" t="s">
        <v>4184</v>
      </c>
    </row>
    <row r="4" s="91" customFormat="1" ht="27" customHeight="1" spans="1:6">
      <c r="A4" s="97" t="s">
        <v>52</v>
      </c>
      <c r="B4" s="97" t="s">
        <v>4185</v>
      </c>
      <c r="C4" s="97"/>
      <c r="D4" s="97"/>
      <c r="E4" s="97"/>
      <c r="F4" s="97"/>
    </row>
    <row r="5" s="91" customFormat="1" ht="30" customHeight="1" spans="1:6">
      <c r="A5" s="98"/>
      <c r="B5" s="98" t="s">
        <v>959</v>
      </c>
      <c r="C5" s="98" t="s">
        <v>4186</v>
      </c>
      <c r="D5" s="98" t="s">
        <v>4187</v>
      </c>
      <c r="E5" s="98" t="s">
        <v>4188</v>
      </c>
      <c r="F5" s="98" t="s">
        <v>4189</v>
      </c>
    </row>
    <row r="6" s="91" customFormat="1" ht="31.5" customHeight="1" spans="1:6">
      <c r="A6" s="99" t="s">
        <v>4190</v>
      </c>
      <c r="B6" s="100">
        <v>203697</v>
      </c>
      <c r="C6" s="100">
        <v>192506</v>
      </c>
      <c r="D6" s="100"/>
      <c r="E6" s="100">
        <v>11182</v>
      </c>
      <c r="F6" s="100">
        <v>9</v>
      </c>
    </row>
    <row r="7" s="91" customFormat="1" ht="31.5" customHeight="1" spans="1:6">
      <c r="A7" s="597" t="s">
        <v>4191</v>
      </c>
      <c r="B7" s="100">
        <v>208900</v>
      </c>
      <c r="C7" s="100"/>
      <c r="D7" s="148"/>
      <c r="E7" s="100"/>
      <c r="F7" s="100"/>
    </row>
    <row r="8" s="91" customFormat="1" ht="31.5" customHeight="1" spans="1:6">
      <c r="A8" s="597" t="s">
        <v>4192</v>
      </c>
      <c r="B8" s="100">
        <v>15154</v>
      </c>
      <c r="C8" s="100">
        <v>13170</v>
      </c>
      <c r="D8" s="100"/>
      <c r="E8" s="100"/>
      <c r="F8" s="100">
        <v>1984</v>
      </c>
    </row>
    <row r="9" s="91" customFormat="1" ht="31.5" customHeight="1" spans="1:6">
      <c r="A9" s="597" t="s">
        <v>4193</v>
      </c>
      <c r="B9" s="100">
        <v>14843</v>
      </c>
      <c r="C9" s="100">
        <v>13600</v>
      </c>
      <c r="D9" s="100"/>
      <c r="E9" s="100">
        <v>342</v>
      </c>
      <c r="F9" s="100">
        <v>901</v>
      </c>
    </row>
    <row r="10" s="91" customFormat="1" ht="31.5" customHeight="1" spans="1:6">
      <c r="A10" s="597" t="s">
        <v>4194</v>
      </c>
      <c r="B10" s="100">
        <v>-267</v>
      </c>
      <c r="C10" s="100">
        <v>1099</v>
      </c>
      <c r="D10" s="100"/>
      <c r="E10" s="100">
        <v>-465</v>
      </c>
      <c r="F10" s="100">
        <v>-901</v>
      </c>
    </row>
    <row r="11" s="91" customFormat="1" ht="31.5" customHeight="1" spans="1:6">
      <c r="A11" s="99" t="s">
        <v>4195</v>
      </c>
      <c r="B11" s="100">
        <v>204275</v>
      </c>
      <c r="C11" s="100">
        <v>190977</v>
      </c>
      <c r="D11" s="100"/>
      <c r="E11" s="100">
        <v>11305</v>
      </c>
      <c r="F11" s="100">
        <v>1993</v>
      </c>
    </row>
    <row r="12" s="91" customFormat="1" ht="15"/>
    <row r="13" s="91" customFormat="1" ht="15"/>
    <row r="14" s="91" customFormat="1" ht="15"/>
    <row r="15" s="91" customFormat="1" ht="15"/>
    <row r="16" s="91" customFormat="1" ht="15"/>
    <row r="17" s="91" customFormat="1" ht="15"/>
    <row r="18" s="91" customFormat="1" ht="15"/>
    <row r="19" s="91" customFormat="1" ht="15"/>
    <row r="20" s="91" customFormat="1" ht="15"/>
  </sheetData>
  <mergeCells count="4">
    <mergeCell ref="A1:F1"/>
    <mergeCell ref="A2:F2"/>
    <mergeCell ref="B4:F4"/>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H10" sqref="H10"/>
    </sheetView>
  </sheetViews>
  <sheetFormatPr defaultColWidth="9" defaultRowHeight="15" outlineLevelCol="3"/>
  <cols>
    <col min="1" max="1" width="36.5" style="125" customWidth="1"/>
    <col min="2" max="2" width="14.0833333333333" style="125" customWidth="1"/>
    <col min="3" max="3" width="17.625" style="125" customWidth="1"/>
    <col min="4" max="4" width="17.125" style="125" customWidth="1"/>
    <col min="5" max="16384" width="9" style="125"/>
  </cols>
  <sheetData>
    <row r="1" s="125" customFormat="1" ht="18" customHeight="1" spans="1:4">
      <c r="A1" s="105" t="s">
        <v>4196</v>
      </c>
      <c r="B1" s="105"/>
      <c r="C1" s="105"/>
      <c r="D1" s="105"/>
    </row>
    <row r="2" s="125" customFormat="1" ht="18" customHeight="1" spans="1:1">
      <c r="A2" s="129"/>
    </row>
    <row r="3" s="125" customFormat="1" ht="24.75" customHeight="1" spans="1:4">
      <c r="A3" s="131" t="s">
        <v>4141</v>
      </c>
      <c r="B3" s="132"/>
      <c r="C3" s="132"/>
      <c r="D3" s="133"/>
    </row>
    <row r="4" s="92" customFormat="1" ht="35.25" customHeight="1" spans="1:4">
      <c r="A4" s="39" t="s">
        <v>52</v>
      </c>
      <c r="B4" s="135" t="s">
        <v>4197</v>
      </c>
      <c r="C4" s="135" t="s">
        <v>4198</v>
      </c>
      <c r="D4" s="135" t="s">
        <v>1079</v>
      </c>
    </row>
    <row r="5" s="126" customFormat="1" ht="20.1" customHeight="1" spans="1:4">
      <c r="A5" s="137" t="s">
        <v>4199</v>
      </c>
      <c r="B5" s="138">
        <f>SUM(B6:B34)</f>
        <v>5448</v>
      </c>
      <c r="C5" s="138">
        <f>SUM(C6:C34)</f>
        <v>23600</v>
      </c>
      <c r="D5" s="139">
        <f>C5/B5</f>
        <v>4.3319</v>
      </c>
    </row>
    <row r="6" s="126" customFormat="1" ht="20.1" customHeight="1" spans="1:4">
      <c r="A6" s="141" t="s">
        <v>697</v>
      </c>
      <c r="B6" s="36"/>
      <c r="C6" s="36"/>
      <c r="D6" s="139"/>
    </row>
    <row r="7" s="126" customFormat="1" ht="20.1" customHeight="1" spans="1:4">
      <c r="A7" s="141" t="s">
        <v>703</v>
      </c>
      <c r="B7" s="36"/>
      <c r="C7" s="36"/>
      <c r="D7" s="139"/>
    </row>
    <row r="8" s="126" customFormat="1" ht="20.1" customHeight="1" spans="1:4">
      <c r="A8" s="141" t="s">
        <v>705</v>
      </c>
      <c r="B8" s="36"/>
      <c r="C8" s="36"/>
      <c r="D8" s="139"/>
    </row>
    <row r="9" s="126" customFormat="1" ht="20.1" customHeight="1" spans="1:4">
      <c r="A9" s="141" t="s">
        <v>707</v>
      </c>
      <c r="B9" s="36"/>
      <c r="C9" s="36"/>
      <c r="D9" s="139"/>
    </row>
    <row r="10" s="126" customFormat="1" ht="20.1" customHeight="1" spans="1:4">
      <c r="A10" s="141" t="s">
        <v>709</v>
      </c>
      <c r="B10" s="36"/>
      <c r="C10" s="36"/>
      <c r="D10" s="139"/>
    </row>
    <row r="11" s="126" customFormat="1" ht="20.1" customHeight="1" spans="1:4">
      <c r="A11" s="141" t="s">
        <v>711</v>
      </c>
      <c r="B11" s="36"/>
      <c r="C11" s="36"/>
      <c r="D11" s="139"/>
    </row>
    <row r="12" s="126" customFormat="1" ht="20.1" customHeight="1" spans="1:4">
      <c r="A12" s="141" t="s">
        <v>713</v>
      </c>
      <c r="B12" s="36"/>
      <c r="C12" s="36"/>
      <c r="D12" s="139"/>
    </row>
    <row r="13" s="126" customFormat="1" ht="20.1" customHeight="1" spans="1:4">
      <c r="A13" s="141" t="s">
        <v>715</v>
      </c>
      <c r="B13" s="36"/>
      <c r="C13" s="36"/>
      <c r="D13" s="139"/>
    </row>
    <row r="14" s="126" customFormat="1" ht="20.1" customHeight="1" spans="1:4">
      <c r="A14" s="141" t="s">
        <v>717</v>
      </c>
      <c r="B14" s="36">
        <v>4732</v>
      </c>
      <c r="C14" s="36">
        <v>22300</v>
      </c>
      <c r="D14" s="139">
        <f>C14/B14</f>
        <v>4.7126</v>
      </c>
    </row>
    <row r="15" s="126" customFormat="1" ht="20.1" customHeight="1" spans="1:4">
      <c r="A15" s="141" t="s">
        <v>729</v>
      </c>
      <c r="B15" s="36"/>
      <c r="C15" s="36"/>
      <c r="D15" s="139"/>
    </row>
    <row r="16" s="126" customFormat="1" ht="20.1" customHeight="1" spans="1:4">
      <c r="A16" s="141" t="s">
        <v>731</v>
      </c>
      <c r="B16" s="36"/>
      <c r="C16" s="36"/>
      <c r="D16" s="139"/>
    </row>
    <row r="17" s="126" customFormat="1" ht="20.1" customHeight="1" spans="1:4">
      <c r="A17" s="141" t="s">
        <v>737</v>
      </c>
      <c r="B17" s="36"/>
      <c r="C17" s="36"/>
      <c r="D17" s="139"/>
    </row>
    <row r="18" s="126" customFormat="1" ht="20.1" customHeight="1" spans="1:4">
      <c r="A18" s="141" t="s">
        <v>739</v>
      </c>
      <c r="B18" s="36"/>
      <c r="C18" s="36"/>
      <c r="D18" s="139"/>
    </row>
    <row r="19" s="126" customFormat="1" ht="20.1" customHeight="1" spans="1:4">
      <c r="A19" s="141" t="s">
        <v>741</v>
      </c>
      <c r="B19" s="36"/>
      <c r="C19" s="36"/>
      <c r="D19" s="139"/>
    </row>
    <row r="20" s="126" customFormat="1" ht="20.1" customHeight="1" spans="1:4">
      <c r="A20" s="141" t="s">
        <v>743</v>
      </c>
      <c r="B20" s="36"/>
      <c r="C20" s="36"/>
      <c r="D20" s="139"/>
    </row>
    <row r="21" s="126" customFormat="1" ht="20.1" customHeight="1" spans="1:4">
      <c r="A21" s="141" t="s">
        <v>749</v>
      </c>
      <c r="B21" s="36">
        <v>116</v>
      </c>
      <c r="C21" s="36">
        <v>700</v>
      </c>
      <c r="D21" s="139">
        <f>C21/B21</f>
        <v>6.0345</v>
      </c>
    </row>
    <row r="22" s="92" customFormat="1" ht="20.1" customHeight="1" spans="1:4">
      <c r="A22" s="141" t="s">
        <v>751</v>
      </c>
      <c r="B22" s="36"/>
      <c r="C22" s="36"/>
      <c r="D22" s="139"/>
    </row>
    <row r="23" s="125" customFormat="1" ht="20.1" customHeight="1" spans="1:4">
      <c r="A23" s="141" t="s">
        <v>753</v>
      </c>
      <c r="B23" s="36"/>
      <c r="C23" s="36"/>
      <c r="D23" s="139"/>
    </row>
    <row r="24" s="125" customFormat="1" ht="20.1" customHeight="1" spans="1:4">
      <c r="A24" s="141" t="s">
        <v>759</v>
      </c>
      <c r="B24" s="36"/>
      <c r="C24" s="36"/>
      <c r="D24" s="139"/>
    </row>
    <row r="25" s="125" customFormat="1" ht="20.1" customHeight="1" spans="1:4">
      <c r="A25" s="141" t="s">
        <v>761</v>
      </c>
      <c r="B25" s="36"/>
      <c r="C25" s="36"/>
      <c r="D25" s="139"/>
    </row>
    <row r="26" s="125" customFormat="1" ht="20.1" customHeight="1" spans="1:4">
      <c r="A26" s="141" t="s">
        <v>763</v>
      </c>
      <c r="B26" s="36"/>
      <c r="C26" s="36"/>
      <c r="D26" s="139"/>
    </row>
    <row r="27" s="125" customFormat="1" ht="20.1" customHeight="1" spans="1:4">
      <c r="A27" s="141" t="s">
        <v>765</v>
      </c>
      <c r="B27" s="36"/>
      <c r="C27" s="36"/>
      <c r="D27" s="139"/>
    </row>
    <row r="28" s="125" customFormat="1" ht="20.1" customHeight="1" spans="1:4">
      <c r="A28" s="141" t="s">
        <v>767</v>
      </c>
      <c r="B28" s="36"/>
      <c r="C28" s="36"/>
      <c r="D28" s="139"/>
    </row>
    <row r="29" s="125" customFormat="1" ht="20.1" customHeight="1" spans="1:4">
      <c r="A29" s="141" t="s">
        <v>773</v>
      </c>
      <c r="B29" s="36">
        <v>600</v>
      </c>
      <c r="C29" s="36">
        <v>600</v>
      </c>
      <c r="D29" s="139">
        <f>C29/B29</f>
        <v>1</v>
      </c>
    </row>
    <row r="30" s="125" customFormat="1" ht="20.1" customHeight="1" spans="1:4">
      <c r="A30" s="141" t="s">
        <v>4200</v>
      </c>
      <c r="B30" s="36"/>
      <c r="C30" s="36"/>
      <c r="D30" s="139"/>
    </row>
    <row r="31" s="125" customFormat="1" ht="20.1" customHeight="1" spans="1:4">
      <c r="A31" s="141" t="s">
        <v>791</v>
      </c>
      <c r="B31" s="36"/>
      <c r="C31" s="36"/>
      <c r="D31" s="139"/>
    </row>
    <row r="32" s="125" customFormat="1" ht="20.1" customHeight="1" spans="1:4">
      <c r="A32" s="141" t="s">
        <v>4201</v>
      </c>
      <c r="B32" s="36"/>
      <c r="C32" s="36"/>
      <c r="D32" s="139"/>
    </row>
    <row r="33" s="125" customFormat="1" ht="20.1" customHeight="1" spans="1:4">
      <c r="A33" s="141" t="s">
        <v>4202</v>
      </c>
      <c r="B33" s="36"/>
      <c r="C33" s="36"/>
      <c r="D33" s="139"/>
    </row>
    <row r="34" s="125" customFormat="1" ht="20.1" customHeight="1" spans="1:4">
      <c r="A34" s="141" t="s">
        <v>793</v>
      </c>
      <c r="B34" s="36"/>
      <c r="C34" s="36"/>
      <c r="D34" s="139"/>
    </row>
    <row r="35" s="125" customFormat="1" ht="20.1" customHeight="1" spans="1:4">
      <c r="A35" s="137" t="s">
        <v>795</v>
      </c>
      <c r="B35" s="138">
        <f>SUM(B36:B46)</f>
        <v>148</v>
      </c>
      <c r="C35" s="138">
        <f>SUM(C36:C46)</f>
        <v>0</v>
      </c>
      <c r="D35" s="139">
        <f>C35/B35</f>
        <v>0</v>
      </c>
    </row>
    <row r="36" spans="1:4">
      <c r="A36" s="141" t="s">
        <v>4203</v>
      </c>
      <c r="B36" s="36"/>
      <c r="C36" s="36"/>
      <c r="D36" s="139"/>
    </row>
    <row r="37" spans="1:4">
      <c r="A37" s="141" t="s">
        <v>4204</v>
      </c>
      <c r="B37" s="36"/>
      <c r="C37" s="36"/>
      <c r="D37" s="139"/>
    </row>
    <row r="38" spans="1:4">
      <c r="A38" s="141" t="s">
        <v>4205</v>
      </c>
      <c r="B38" s="36"/>
      <c r="C38" s="36"/>
      <c r="D38" s="139"/>
    </row>
    <row r="39" spans="1:4">
      <c r="A39" s="141" t="s">
        <v>4206</v>
      </c>
      <c r="B39" s="36"/>
      <c r="C39" s="36"/>
      <c r="D39" s="139"/>
    </row>
    <row r="40" spans="1:4">
      <c r="A40" s="141" t="s">
        <v>4207</v>
      </c>
      <c r="B40" s="36"/>
      <c r="C40" s="36"/>
      <c r="D40" s="139"/>
    </row>
    <row r="41" spans="1:4">
      <c r="A41" s="141" t="s">
        <v>4208</v>
      </c>
      <c r="B41" s="36"/>
      <c r="C41" s="36"/>
      <c r="D41" s="139"/>
    </row>
    <row r="42" spans="1:4">
      <c r="A42" s="141" t="s">
        <v>4209</v>
      </c>
      <c r="B42" s="36"/>
      <c r="C42" s="36"/>
      <c r="D42" s="139"/>
    </row>
    <row r="43" spans="1:4">
      <c r="A43" s="141" t="s">
        <v>4210</v>
      </c>
      <c r="B43" s="36"/>
      <c r="C43" s="36"/>
      <c r="D43" s="139"/>
    </row>
    <row r="44" spans="1:4">
      <c r="A44" s="141" t="s">
        <v>4211</v>
      </c>
      <c r="B44" s="36"/>
      <c r="C44" s="36"/>
      <c r="D44" s="139"/>
    </row>
    <row r="45" spans="1:4">
      <c r="A45" s="141" t="s">
        <v>4212</v>
      </c>
      <c r="B45" s="36"/>
      <c r="C45" s="36"/>
      <c r="D45" s="139"/>
    </row>
    <row r="46" spans="1:4">
      <c r="A46" s="141" t="s">
        <v>4213</v>
      </c>
      <c r="B46" s="36">
        <v>148</v>
      </c>
      <c r="C46" s="36"/>
      <c r="D46" s="139">
        <f>C46/B46</f>
        <v>0</v>
      </c>
    </row>
    <row r="47" spans="1:4">
      <c r="A47" s="143"/>
      <c r="B47" s="36"/>
      <c r="C47" s="36"/>
      <c r="D47" s="142"/>
    </row>
    <row r="48" spans="1:4">
      <c r="A48" s="143"/>
      <c r="B48" s="36"/>
      <c r="C48" s="36"/>
      <c r="D48" s="142"/>
    </row>
    <row r="49" spans="1:4">
      <c r="A49" s="143"/>
      <c r="B49" s="36"/>
      <c r="C49" s="36"/>
      <c r="D49" s="142"/>
    </row>
    <row r="50" spans="1:4">
      <c r="A50" s="143"/>
      <c r="B50" s="36"/>
      <c r="C50" s="36"/>
      <c r="D50" s="142"/>
    </row>
    <row r="51" spans="1:4">
      <c r="A51" s="143"/>
      <c r="B51" s="36"/>
      <c r="C51" s="36"/>
      <c r="D51" s="142"/>
    </row>
    <row r="52" spans="1:4">
      <c r="A52" s="143"/>
      <c r="B52" s="36"/>
      <c r="C52" s="36"/>
      <c r="D52" s="142"/>
    </row>
    <row r="53" spans="1:4">
      <c r="A53" s="143"/>
      <c r="B53" s="36"/>
      <c r="C53" s="36"/>
      <c r="D53" s="142"/>
    </row>
    <row r="54" spans="1:4">
      <c r="A54" s="143"/>
      <c r="B54" s="36"/>
      <c r="C54" s="36"/>
      <c r="D54" s="142"/>
    </row>
  </sheetData>
  <mergeCells count="2">
    <mergeCell ref="A1:D1"/>
    <mergeCell ref="A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6"/>
  <sheetViews>
    <sheetView workbookViewId="0">
      <selection activeCell="A1" sqref="$A1:$XFD65536"/>
    </sheetView>
  </sheetViews>
  <sheetFormatPr defaultColWidth="9" defaultRowHeight="15" outlineLevelCol="3"/>
  <cols>
    <col min="1" max="1" width="51.875" style="125" customWidth="1"/>
    <col min="2" max="2" width="10.375" style="125" customWidth="1"/>
    <col min="3" max="3" width="9.375" style="125" customWidth="1"/>
    <col min="4" max="4" width="12" style="125" customWidth="1"/>
    <col min="5" max="16384" width="9" style="125"/>
  </cols>
  <sheetData>
    <row r="1" s="125" customFormat="1" ht="18" customHeight="1" spans="1:4">
      <c r="A1" s="105" t="s">
        <v>4214</v>
      </c>
      <c r="B1" s="105"/>
      <c r="C1" s="105"/>
      <c r="D1" s="105"/>
    </row>
    <row r="2" s="125" customFormat="1" ht="18" customHeight="1" spans="4:4">
      <c r="D2" s="147" t="s">
        <v>51</v>
      </c>
    </row>
    <row r="3" s="125" customFormat="1" ht="24.75" customHeight="1" spans="1:4">
      <c r="A3" s="131" t="s">
        <v>4142</v>
      </c>
      <c r="B3" s="132"/>
      <c r="C3" s="132"/>
      <c r="D3" s="133"/>
    </row>
    <row r="4" s="92" customFormat="1" ht="35.25" customHeight="1" spans="1:4">
      <c r="A4" s="39" t="s">
        <v>52</v>
      </c>
      <c r="B4" s="135" t="s">
        <v>4197</v>
      </c>
      <c r="C4" s="135" t="s">
        <v>4198</v>
      </c>
      <c r="D4" s="136" t="s">
        <v>1079</v>
      </c>
    </row>
    <row r="5" s="126" customFormat="1" ht="20.1" customHeight="1" spans="1:4">
      <c r="A5" s="117" t="s">
        <v>4215</v>
      </c>
      <c r="B5" s="140">
        <f>SUM(B6)</f>
        <v>0</v>
      </c>
      <c r="C5" s="140">
        <f>SUM(C6)</f>
        <v>0</v>
      </c>
      <c r="D5" s="139"/>
    </row>
    <row r="6" s="126" customFormat="1" ht="20.1" customHeight="1" spans="1:4">
      <c r="A6" s="119" t="s">
        <v>4216</v>
      </c>
      <c r="B6" s="36"/>
      <c r="C6" s="36"/>
      <c r="D6" s="142"/>
    </row>
    <row r="7" s="126" customFormat="1" ht="20.1" customHeight="1" spans="1:4">
      <c r="A7" s="117" t="s">
        <v>4217</v>
      </c>
      <c r="B7" s="138">
        <f>B8+B9</f>
        <v>0</v>
      </c>
      <c r="C7" s="138">
        <f>C8+C9</f>
        <v>0</v>
      </c>
      <c r="D7" s="139"/>
    </row>
    <row r="8" s="126" customFormat="1" ht="20.1" customHeight="1" spans="1:4">
      <c r="A8" s="120" t="s">
        <v>4218</v>
      </c>
      <c r="B8" s="36"/>
      <c r="C8" s="36"/>
      <c r="D8" s="142"/>
    </row>
    <row r="9" s="126" customFormat="1" ht="20.1" customHeight="1" spans="1:4">
      <c r="A9" s="119" t="s">
        <v>4216</v>
      </c>
      <c r="B9" s="36"/>
      <c r="C9" s="36"/>
      <c r="D9" s="142"/>
    </row>
    <row r="10" s="126" customFormat="1" ht="20.1" customHeight="1" spans="1:4">
      <c r="A10" s="117" t="s">
        <v>4219</v>
      </c>
      <c r="B10" s="138">
        <f>SUM(B11:B14)</f>
        <v>5</v>
      </c>
      <c r="C10" s="138">
        <f>SUM(C11:C14)</f>
        <v>9</v>
      </c>
      <c r="D10" s="139">
        <f>C10/B10</f>
        <v>1.8</v>
      </c>
    </row>
    <row r="11" s="126" customFormat="1" ht="20.1" customHeight="1" spans="1:4">
      <c r="A11" s="120" t="s">
        <v>4220</v>
      </c>
      <c r="B11" s="36">
        <v>5</v>
      </c>
      <c r="C11" s="36">
        <v>9</v>
      </c>
      <c r="D11" s="142">
        <f>C11/B11</f>
        <v>1.8</v>
      </c>
    </row>
    <row r="12" s="126" customFormat="1" ht="20.1" customHeight="1" spans="1:4">
      <c r="A12" s="120" t="s">
        <v>4221</v>
      </c>
      <c r="B12" s="36"/>
      <c r="C12" s="36"/>
      <c r="D12" s="142"/>
    </row>
    <row r="13" s="126" customFormat="1" ht="20.1" customHeight="1" spans="1:4">
      <c r="A13" s="120" t="s">
        <v>4222</v>
      </c>
      <c r="B13" s="36"/>
      <c r="C13" s="36"/>
      <c r="D13" s="142"/>
    </row>
    <row r="14" s="126" customFormat="1" ht="20.1" customHeight="1" spans="1:4">
      <c r="A14" s="119" t="s">
        <v>4216</v>
      </c>
      <c r="B14" s="36"/>
      <c r="C14" s="36"/>
      <c r="D14" s="142"/>
    </row>
    <row r="15" s="126" customFormat="1" ht="20.1" customHeight="1" spans="1:4">
      <c r="A15" s="117" t="s">
        <v>4223</v>
      </c>
      <c r="B15" s="138">
        <f>SUM(B16)</f>
        <v>0</v>
      </c>
      <c r="C15" s="138">
        <f>SUM(C16)</f>
        <v>0</v>
      </c>
      <c r="D15" s="139"/>
    </row>
    <row r="16" s="126" customFormat="1" ht="20.1" customHeight="1" spans="1:4">
      <c r="A16" s="119" t="s">
        <v>4216</v>
      </c>
      <c r="B16" s="36"/>
      <c r="C16" s="36"/>
      <c r="D16" s="142"/>
    </row>
    <row r="17" s="126" customFormat="1" ht="20.1" customHeight="1" spans="1:4">
      <c r="A17" s="117" t="s">
        <v>4224</v>
      </c>
      <c r="B17" s="138">
        <f>SUM(B18:B20)</f>
        <v>0</v>
      </c>
      <c r="C17" s="138">
        <f>SUM(C18:C20)</f>
        <v>0</v>
      </c>
      <c r="D17" s="139"/>
    </row>
    <row r="18" s="126" customFormat="1" ht="20.1" customHeight="1" spans="1:4">
      <c r="A18" s="119" t="s">
        <v>4225</v>
      </c>
      <c r="B18" s="36"/>
      <c r="C18" s="36"/>
      <c r="D18" s="142"/>
    </row>
    <row r="19" s="126" customFormat="1" ht="20.1" customHeight="1" spans="1:4">
      <c r="A19" s="119" t="s">
        <v>4226</v>
      </c>
      <c r="B19" s="36"/>
      <c r="C19" s="36"/>
      <c r="D19" s="142"/>
    </row>
    <row r="20" s="126" customFormat="1" ht="20.1" customHeight="1" spans="1:4">
      <c r="A20" s="119" t="s">
        <v>4216</v>
      </c>
      <c r="B20" s="36"/>
      <c r="C20" s="36"/>
      <c r="D20" s="142"/>
    </row>
    <row r="21" s="126" customFormat="1" ht="20.1" customHeight="1" spans="1:4">
      <c r="A21" s="117" t="s">
        <v>4227</v>
      </c>
      <c r="B21" s="138">
        <f>SUM(B22:B32)</f>
        <v>14947</v>
      </c>
      <c r="C21" s="138">
        <f>SUM(C22:C32)</f>
        <v>20881</v>
      </c>
      <c r="D21" s="139">
        <f>C21/B21</f>
        <v>1.397</v>
      </c>
    </row>
    <row r="22" s="126" customFormat="1" ht="20.1" customHeight="1" spans="1:4">
      <c r="A22" s="119" t="s">
        <v>4228</v>
      </c>
      <c r="B22" s="36">
        <v>5344</v>
      </c>
      <c r="C22" s="36">
        <v>17782</v>
      </c>
      <c r="D22" s="142">
        <f>C22/B22</f>
        <v>3.3275</v>
      </c>
    </row>
    <row r="23" s="92" customFormat="1" ht="20.1" customHeight="1" spans="1:4">
      <c r="A23" s="119" t="s">
        <v>4229</v>
      </c>
      <c r="B23" s="36"/>
      <c r="C23" s="36"/>
      <c r="D23" s="142"/>
    </row>
    <row r="24" s="92" customFormat="1" ht="20.1" customHeight="1" spans="1:4">
      <c r="A24" s="119" t="s">
        <v>4230</v>
      </c>
      <c r="B24" s="36">
        <v>7</v>
      </c>
      <c r="C24" s="36">
        <v>262</v>
      </c>
      <c r="D24" s="142">
        <f>C24/B24</f>
        <v>37.4286</v>
      </c>
    </row>
    <row r="25" s="92" customFormat="1" ht="20.1" customHeight="1" spans="1:4">
      <c r="A25" s="119" t="s">
        <v>4231</v>
      </c>
      <c r="B25" s="36"/>
      <c r="C25" s="36"/>
      <c r="D25" s="142"/>
    </row>
    <row r="26" s="92" customFormat="1" ht="20.1" customHeight="1" spans="1:4">
      <c r="A26" s="119" t="s">
        <v>4232</v>
      </c>
      <c r="B26" s="36">
        <v>350</v>
      </c>
      <c r="C26" s="36">
        <v>696</v>
      </c>
      <c r="D26" s="142">
        <f>C26/B26</f>
        <v>1.9886</v>
      </c>
    </row>
    <row r="27" s="92" customFormat="1" ht="20.1" customHeight="1" spans="1:4">
      <c r="A27" s="119" t="s">
        <v>4233</v>
      </c>
      <c r="B27" s="36"/>
      <c r="C27" s="36"/>
      <c r="D27" s="142"/>
    </row>
    <row r="28" s="92" customFormat="1" ht="20.1" customHeight="1" spans="1:4">
      <c r="A28" s="119" t="s">
        <v>4234</v>
      </c>
      <c r="B28" s="36"/>
      <c r="C28" s="36">
        <v>200</v>
      </c>
      <c r="D28" s="142"/>
    </row>
    <row r="29" s="92" customFormat="1" ht="20.1" customHeight="1" spans="1:4">
      <c r="A29" s="119" t="s">
        <v>4235</v>
      </c>
      <c r="B29" s="36"/>
      <c r="C29" s="36"/>
      <c r="D29" s="142"/>
    </row>
    <row r="30" s="92" customFormat="1" ht="20.1" customHeight="1" spans="1:4">
      <c r="A30" s="119" t="s">
        <v>4236</v>
      </c>
      <c r="B30" s="36"/>
      <c r="C30" s="36"/>
      <c r="D30" s="142"/>
    </row>
    <row r="31" s="92" customFormat="1" ht="20.1" customHeight="1" spans="1:4">
      <c r="A31" s="119" t="s">
        <v>4237</v>
      </c>
      <c r="B31" s="36">
        <v>9246</v>
      </c>
      <c r="C31" s="36">
        <v>1941</v>
      </c>
      <c r="D31" s="142">
        <f>C31/B31</f>
        <v>0.2099</v>
      </c>
    </row>
    <row r="32" s="92" customFormat="1" ht="20.1" customHeight="1" spans="1:4">
      <c r="A32" s="119" t="s">
        <v>4216</v>
      </c>
      <c r="B32" s="36"/>
      <c r="C32" s="36"/>
      <c r="D32" s="142"/>
    </row>
    <row r="33" s="92" customFormat="1" ht="20.1" customHeight="1" spans="1:4">
      <c r="A33" s="117" t="s">
        <v>4238</v>
      </c>
      <c r="B33" s="138">
        <f>SUM(B34:B42)</f>
        <v>972</v>
      </c>
      <c r="C33" s="138">
        <f>SUM(C34:C42)</f>
        <v>8271</v>
      </c>
      <c r="D33" s="139">
        <f>C33/B33</f>
        <v>8.5093</v>
      </c>
    </row>
    <row r="34" s="92" customFormat="1" ht="20.1" customHeight="1" spans="1:4">
      <c r="A34" s="119" t="s">
        <v>4239</v>
      </c>
      <c r="B34" s="36">
        <v>121</v>
      </c>
      <c r="C34" s="36">
        <v>1091</v>
      </c>
      <c r="D34" s="142">
        <f>C34/B34</f>
        <v>9.0165</v>
      </c>
    </row>
    <row r="35" s="92" customFormat="1" ht="19.9" customHeight="1" spans="1:4">
      <c r="A35" s="119" t="s">
        <v>4240</v>
      </c>
      <c r="B35" s="36"/>
      <c r="C35" s="36"/>
      <c r="D35" s="142"/>
    </row>
    <row r="36" s="92" customFormat="1" ht="20.1" customHeight="1" spans="1:4">
      <c r="A36" s="119" t="s">
        <v>4241</v>
      </c>
      <c r="B36" s="36">
        <v>7</v>
      </c>
      <c r="C36" s="36">
        <v>234</v>
      </c>
      <c r="D36" s="142">
        <f>C36/B36</f>
        <v>33.4286</v>
      </c>
    </row>
    <row r="37" s="93" customFormat="1" ht="20.1" customHeight="1" spans="1:4">
      <c r="A37" s="119" t="s">
        <v>4242</v>
      </c>
      <c r="B37" s="36"/>
      <c r="C37" s="36"/>
      <c r="D37" s="142"/>
    </row>
    <row r="38" s="92" customFormat="1" ht="20.1" customHeight="1" spans="1:4">
      <c r="A38" s="121" t="s">
        <v>4243</v>
      </c>
      <c r="B38" s="36"/>
      <c r="C38" s="36"/>
      <c r="D38" s="142"/>
    </row>
    <row r="39" s="92" customFormat="1" ht="20.1" customHeight="1" spans="1:4">
      <c r="A39" s="121" t="s">
        <v>4244</v>
      </c>
      <c r="B39" s="36">
        <v>842</v>
      </c>
      <c r="C39" s="36">
        <v>6691</v>
      </c>
      <c r="D39" s="142">
        <f>C39/B39</f>
        <v>7.9466</v>
      </c>
    </row>
    <row r="40" s="92" customFormat="1" ht="20.1" customHeight="1" spans="1:4">
      <c r="A40" s="121" t="s">
        <v>4245</v>
      </c>
      <c r="B40" s="36">
        <v>2</v>
      </c>
      <c r="C40" s="36">
        <v>255</v>
      </c>
      <c r="D40" s="142">
        <f>C40/B40</f>
        <v>127.5</v>
      </c>
    </row>
    <row r="41" s="92" customFormat="1" ht="20.1" customHeight="1" spans="1:4">
      <c r="A41" s="121" t="s">
        <v>4246</v>
      </c>
      <c r="B41" s="36"/>
      <c r="C41" s="36"/>
      <c r="D41" s="142"/>
    </row>
    <row r="42" s="92" customFormat="1" ht="20.1" customHeight="1" spans="1:4">
      <c r="A42" s="121" t="s">
        <v>4216</v>
      </c>
      <c r="B42" s="36"/>
      <c r="C42" s="36"/>
      <c r="D42" s="142"/>
    </row>
    <row r="43" s="92" customFormat="1" ht="20.1" customHeight="1" spans="1:4">
      <c r="A43" s="117" t="s">
        <v>4247</v>
      </c>
      <c r="B43" s="138">
        <f>SUM(B44:B52)</f>
        <v>0</v>
      </c>
      <c r="C43" s="138">
        <f>SUM(C44:C52)</f>
        <v>0</v>
      </c>
      <c r="D43" s="139"/>
    </row>
    <row r="44" s="92" customFormat="1" ht="20.1" customHeight="1" spans="1:4">
      <c r="A44" s="119" t="s">
        <v>4248</v>
      </c>
      <c r="B44" s="36"/>
      <c r="C44" s="36"/>
      <c r="D44" s="142"/>
    </row>
    <row r="45" s="92" customFormat="1" ht="20.1" customHeight="1" spans="1:4">
      <c r="A45" s="119" t="s">
        <v>4249</v>
      </c>
      <c r="B45" s="36"/>
      <c r="C45" s="36"/>
      <c r="D45" s="142"/>
    </row>
    <row r="46" s="92" customFormat="1" ht="20.1" customHeight="1" spans="1:4">
      <c r="A46" s="119" t="s">
        <v>4250</v>
      </c>
      <c r="B46" s="36"/>
      <c r="C46" s="36"/>
      <c r="D46" s="142"/>
    </row>
    <row r="47" s="92" customFormat="1" ht="20.1" customHeight="1" spans="1:4">
      <c r="A47" s="119" t="s">
        <v>4251</v>
      </c>
      <c r="B47" s="36"/>
      <c r="C47" s="36"/>
      <c r="D47" s="142"/>
    </row>
    <row r="48" s="92" customFormat="1" ht="20.1" customHeight="1" spans="1:4">
      <c r="A48" s="119" t="s">
        <v>4252</v>
      </c>
      <c r="B48" s="36"/>
      <c r="C48" s="36"/>
      <c r="D48" s="142"/>
    </row>
    <row r="49" s="92" customFormat="1" ht="20.1" customHeight="1" spans="1:4">
      <c r="A49" s="119" t="s">
        <v>4253</v>
      </c>
      <c r="B49" s="36"/>
      <c r="C49" s="36"/>
      <c r="D49" s="142"/>
    </row>
    <row r="50" s="92" customFormat="1" ht="20.1" customHeight="1" spans="1:4">
      <c r="A50" s="119" t="s">
        <v>4254</v>
      </c>
      <c r="B50" s="36"/>
      <c r="C50" s="36"/>
      <c r="D50" s="142"/>
    </row>
    <row r="51" s="92" customFormat="1" ht="20.1" customHeight="1" spans="1:4">
      <c r="A51" s="119" t="s">
        <v>4255</v>
      </c>
      <c r="B51" s="36"/>
      <c r="C51" s="36"/>
      <c r="D51" s="142"/>
    </row>
    <row r="52" s="92" customFormat="1" ht="20.1" customHeight="1" spans="1:4">
      <c r="A52" s="119" t="s">
        <v>4216</v>
      </c>
      <c r="B52" s="36"/>
      <c r="C52" s="36"/>
      <c r="D52" s="142"/>
    </row>
    <row r="53" s="92" customFormat="1" ht="20.1" customHeight="1" spans="1:4">
      <c r="A53" s="117" t="s">
        <v>4256</v>
      </c>
      <c r="B53" s="138">
        <f>SUM(B54:B55)</f>
        <v>137</v>
      </c>
      <c r="C53" s="138">
        <f>SUM(C54:C55)</f>
        <v>420</v>
      </c>
      <c r="D53" s="139">
        <f>C53/B53</f>
        <v>3.0657</v>
      </c>
    </row>
    <row r="54" s="92" customFormat="1" ht="20.1" customHeight="1" spans="1:4">
      <c r="A54" s="119" t="s">
        <v>4257</v>
      </c>
      <c r="B54" s="36"/>
      <c r="C54" s="36"/>
      <c r="D54" s="142"/>
    </row>
    <row r="55" s="92" customFormat="1" ht="20.1" customHeight="1" spans="1:4">
      <c r="A55" s="119" t="s">
        <v>4216</v>
      </c>
      <c r="B55" s="36">
        <v>137</v>
      </c>
      <c r="C55" s="36">
        <v>420</v>
      </c>
      <c r="D55" s="142">
        <f>C55/B55</f>
        <v>3.0657</v>
      </c>
    </row>
    <row r="56" s="92" customFormat="1" ht="20.1" customHeight="1" spans="1:4">
      <c r="A56" s="117" t="s">
        <v>4258</v>
      </c>
      <c r="B56" s="138">
        <f t="shared" ref="B56:B60" si="0">SUM(B57)</f>
        <v>0</v>
      </c>
      <c r="C56" s="138">
        <f t="shared" ref="C56:C60" si="1">SUM(C57)</f>
        <v>0</v>
      </c>
      <c r="D56" s="139"/>
    </row>
    <row r="57" s="92" customFormat="1" ht="20.1" customHeight="1" spans="1:4">
      <c r="A57" s="119" t="s">
        <v>4259</v>
      </c>
      <c r="B57" s="36"/>
      <c r="C57" s="36"/>
      <c r="D57" s="142"/>
    </row>
    <row r="58" s="92" customFormat="1" ht="20.1" customHeight="1" spans="1:4">
      <c r="A58" s="117" t="s">
        <v>4260</v>
      </c>
      <c r="B58" s="138">
        <f t="shared" si="0"/>
        <v>0</v>
      </c>
      <c r="C58" s="138">
        <f t="shared" si="1"/>
        <v>50</v>
      </c>
      <c r="D58" s="139"/>
    </row>
    <row r="59" s="92" customFormat="1" ht="20.1" customHeight="1" spans="1:4">
      <c r="A59" s="119" t="s">
        <v>4261</v>
      </c>
      <c r="B59" s="36"/>
      <c r="C59" s="36">
        <v>50</v>
      </c>
      <c r="D59" s="142"/>
    </row>
    <row r="60" s="92" customFormat="1" ht="20.1" customHeight="1" spans="1:4">
      <c r="A60" s="117" t="s">
        <v>4262</v>
      </c>
      <c r="B60" s="138">
        <f t="shared" si="0"/>
        <v>0</v>
      </c>
      <c r="C60" s="138">
        <f t="shared" si="1"/>
        <v>0</v>
      </c>
      <c r="D60" s="139"/>
    </row>
    <row r="61" s="92" customFormat="1" ht="20.1" customHeight="1" spans="1:4">
      <c r="A61" s="119" t="s">
        <v>4216</v>
      </c>
      <c r="B61" s="36"/>
      <c r="C61" s="36"/>
      <c r="D61" s="142"/>
    </row>
    <row r="62" s="92" customFormat="1" ht="20.1" customHeight="1" spans="1:4">
      <c r="A62" s="117" t="s">
        <v>4263</v>
      </c>
      <c r="B62" s="138">
        <f>SUM(B63)</f>
        <v>0</v>
      </c>
      <c r="C62" s="138">
        <f>SUM(C63)</f>
        <v>0</v>
      </c>
      <c r="D62" s="139"/>
    </row>
    <row r="63" s="92" customFormat="1" ht="20.1" customHeight="1" spans="1:4">
      <c r="A63" s="119" t="s">
        <v>4216</v>
      </c>
      <c r="B63" s="36"/>
      <c r="C63" s="36"/>
      <c r="D63" s="142"/>
    </row>
    <row r="64" s="92" customFormat="1" ht="20.1" customHeight="1" spans="1:4">
      <c r="A64" s="117" t="s">
        <v>4264</v>
      </c>
      <c r="B64" s="138">
        <f>SUM(B65)</f>
        <v>0</v>
      </c>
      <c r="C64" s="138">
        <f>SUM(C65)</f>
        <v>0</v>
      </c>
      <c r="D64" s="139"/>
    </row>
    <row r="65" s="92" customFormat="1" ht="20.1" customHeight="1" spans="1:4">
      <c r="A65" s="119" t="s">
        <v>4216</v>
      </c>
      <c r="B65" s="36"/>
      <c r="C65" s="36"/>
      <c r="D65" s="142"/>
    </row>
    <row r="66" s="125" customFormat="1" ht="20.1" customHeight="1" spans="1:4">
      <c r="A66" s="117" t="s">
        <v>4265</v>
      </c>
      <c r="B66" s="138">
        <f>SUM(B67:B72)</f>
        <v>1615</v>
      </c>
      <c r="C66" s="138">
        <f>SUM(C67:C72)</f>
        <v>1891</v>
      </c>
      <c r="D66" s="139">
        <f>C66/B66</f>
        <v>1.1709</v>
      </c>
    </row>
    <row r="67" s="125" customFormat="1" ht="20.1" customHeight="1" spans="1:4">
      <c r="A67" s="119" t="s">
        <v>4266</v>
      </c>
      <c r="B67" s="36">
        <v>1100</v>
      </c>
      <c r="C67" s="36">
        <v>565</v>
      </c>
      <c r="D67" s="142">
        <f>C67/B67</f>
        <v>0.5136</v>
      </c>
    </row>
    <row r="68" s="125" customFormat="1" ht="20.1" customHeight="1" spans="1:4">
      <c r="A68" s="119" t="s">
        <v>4267</v>
      </c>
      <c r="B68" s="36"/>
      <c r="C68" s="36"/>
      <c r="D68" s="142"/>
    </row>
    <row r="69" s="125" customFormat="1" ht="20.1" customHeight="1" spans="1:4">
      <c r="A69" s="119" t="s">
        <v>4268</v>
      </c>
      <c r="B69" s="36"/>
      <c r="C69" s="36"/>
      <c r="D69" s="142"/>
    </row>
    <row r="70" s="125" customFormat="1" ht="20.1" customHeight="1" spans="1:4">
      <c r="A70" s="119" t="s">
        <v>4269</v>
      </c>
      <c r="B70" s="36"/>
      <c r="C70" s="36"/>
      <c r="D70" s="142"/>
    </row>
    <row r="71" s="125" customFormat="1" ht="20.1" customHeight="1" spans="1:4">
      <c r="A71" s="119" t="s">
        <v>4270</v>
      </c>
      <c r="B71" s="36">
        <v>515</v>
      </c>
      <c r="C71" s="36">
        <v>1326</v>
      </c>
      <c r="D71" s="142">
        <f t="shared" ref="D69:D79" si="2">C71/B71</f>
        <v>2.5748</v>
      </c>
    </row>
    <row r="72" s="125" customFormat="1" ht="20.1" customHeight="1" spans="1:4">
      <c r="A72" s="119" t="s">
        <v>4271</v>
      </c>
      <c r="B72" s="36"/>
      <c r="C72" s="36"/>
      <c r="D72" s="142"/>
    </row>
    <row r="73" s="125" customFormat="1" ht="20.1" customHeight="1" spans="1:4">
      <c r="A73" s="117" t="s">
        <v>4272</v>
      </c>
      <c r="B73" s="138">
        <f>SUM(B74)</f>
        <v>939</v>
      </c>
      <c r="C73" s="138">
        <f>SUM(C74)</f>
        <v>1973</v>
      </c>
      <c r="D73" s="139">
        <f t="shared" si="2"/>
        <v>2.1012</v>
      </c>
    </row>
    <row r="74" s="125" customFormat="1" ht="20.1" customHeight="1" spans="1:4">
      <c r="A74" s="119" t="s">
        <v>4273</v>
      </c>
      <c r="B74" s="36">
        <v>939</v>
      </c>
      <c r="C74" s="36">
        <v>1973</v>
      </c>
      <c r="D74" s="142">
        <f t="shared" si="2"/>
        <v>2.1012</v>
      </c>
    </row>
    <row r="75" s="125" customFormat="1" ht="20.1" customHeight="1" spans="1:4">
      <c r="A75" s="117" t="s">
        <v>4274</v>
      </c>
      <c r="B75" s="138">
        <f>SUM(B76)</f>
        <v>19</v>
      </c>
      <c r="C75" s="138">
        <f>SUM(C76)</f>
        <v>0</v>
      </c>
      <c r="D75" s="139">
        <f t="shared" si="2"/>
        <v>0</v>
      </c>
    </row>
    <row r="76" s="125" customFormat="1" ht="20.1" customHeight="1" spans="1:4">
      <c r="A76" s="119" t="s">
        <v>4275</v>
      </c>
      <c r="B76" s="36">
        <v>19</v>
      </c>
      <c r="C76" s="36"/>
      <c r="D76" s="142">
        <f t="shared" si="2"/>
        <v>0</v>
      </c>
    </row>
    <row r="77" s="125" customFormat="1" ht="20.1" customHeight="1" spans="1:4">
      <c r="A77" s="117" t="s">
        <v>4276</v>
      </c>
      <c r="B77" s="138">
        <f>SUM(B78:B79)</f>
        <v>0</v>
      </c>
      <c r="C77" s="138">
        <f>SUM(C78:C79)</f>
        <v>0</v>
      </c>
      <c r="D77" s="139"/>
    </row>
    <row r="78" s="125" customFormat="1" ht="20.1" customHeight="1" spans="1:4">
      <c r="A78" s="119" t="s">
        <v>4277</v>
      </c>
      <c r="B78" s="36"/>
      <c r="C78" s="36"/>
      <c r="D78" s="142"/>
    </row>
    <row r="79" s="125" customFormat="1" ht="20.1" customHeight="1" spans="1:4">
      <c r="A79" s="119" t="s">
        <v>4278</v>
      </c>
      <c r="B79" s="36"/>
      <c r="C79" s="36"/>
      <c r="D79" s="142"/>
    </row>
    <row r="80" s="125" customFormat="1" ht="20.1" customHeight="1" spans="1:4">
      <c r="A80" s="122"/>
      <c r="B80" s="36"/>
      <c r="C80" s="36"/>
      <c r="D80" s="142"/>
    </row>
    <row r="81" spans="1:4">
      <c r="A81" s="122"/>
      <c r="B81" s="36"/>
      <c r="C81" s="36"/>
      <c r="D81" s="142"/>
    </row>
    <row r="82" spans="1:4">
      <c r="A82" s="123" t="s">
        <v>433</v>
      </c>
      <c r="B82" s="124">
        <f>B5+B7+B10+B15+B17+B21+B33+B43+B53+B56+B58+B60+B62+B64+B66+B73+B75+B77</f>
        <v>18634</v>
      </c>
      <c r="C82" s="124">
        <f>C5+C7+C10+C15+C17+C21+C33+C43+C53+C56+C58+C60+C62+C64+C66+C73+C75+C77</f>
        <v>33495</v>
      </c>
      <c r="D82" s="144">
        <f>C82/B82</f>
        <v>1.7975</v>
      </c>
    </row>
    <row r="83" spans="1:4">
      <c r="A83" s="117" t="s">
        <v>95</v>
      </c>
      <c r="B83" s="138">
        <f>SUM(B84:B89)</f>
        <v>20236</v>
      </c>
      <c r="C83" s="138">
        <f>SUM(C84:C89)</f>
        <v>11463</v>
      </c>
      <c r="D83" s="139">
        <f>C83/B83</f>
        <v>0.5665</v>
      </c>
    </row>
    <row r="84" spans="1:4">
      <c r="A84" s="121" t="s">
        <v>4279</v>
      </c>
      <c r="B84" s="36"/>
      <c r="C84" s="36"/>
      <c r="D84" s="142"/>
    </row>
    <row r="85" spans="1:4">
      <c r="A85" s="121" t="s">
        <v>4280</v>
      </c>
      <c r="B85" s="36"/>
      <c r="C85" s="36"/>
      <c r="D85" s="142"/>
    </row>
    <row r="86" spans="1:4">
      <c r="A86" s="121" t="s">
        <v>191</v>
      </c>
      <c r="B86" s="36"/>
      <c r="C86" s="36">
        <v>11463</v>
      </c>
      <c r="D86" s="142"/>
    </row>
    <row r="87" spans="1:4">
      <c r="A87" s="121" t="s">
        <v>210</v>
      </c>
      <c r="B87" s="36">
        <v>20236</v>
      </c>
      <c r="C87" s="36"/>
      <c r="D87" s="142">
        <f>C87/B87</f>
        <v>0</v>
      </c>
    </row>
    <row r="88" spans="1:4">
      <c r="A88" s="121" t="s">
        <v>4281</v>
      </c>
      <c r="B88" s="36"/>
      <c r="C88" s="36"/>
      <c r="D88" s="142"/>
    </row>
    <row r="89" spans="1:4">
      <c r="A89" s="121" t="s">
        <v>4282</v>
      </c>
      <c r="B89" s="36"/>
      <c r="C89" s="36"/>
      <c r="D89" s="142"/>
    </row>
    <row r="90" spans="1:4">
      <c r="A90" s="117" t="s">
        <v>955</v>
      </c>
      <c r="B90" s="138">
        <f>SUM(B91:B93)</f>
        <v>8423</v>
      </c>
      <c r="C90" s="138">
        <f>SUM(C91:C93)</f>
        <v>0</v>
      </c>
      <c r="D90" s="139">
        <f>C90/B90</f>
        <v>0</v>
      </c>
    </row>
    <row r="91" spans="1:4">
      <c r="A91" s="119" t="s">
        <v>956</v>
      </c>
      <c r="B91" s="36">
        <v>8423</v>
      </c>
      <c r="C91" s="36"/>
      <c r="D91" s="142">
        <f>C91/B91</f>
        <v>0</v>
      </c>
    </row>
    <row r="92" spans="1:4">
      <c r="A92" s="119" t="s">
        <v>957</v>
      </c>
      <c r="B92" s="36"/>
      <c r="C92" s="36"/>
      <c r="D92" s="142"/>
    </row>
    <row r="93" spans="1:4">
      <c r="A93" s="119" t="s">
        <v>4283</v>
      </c>
      <c r="B93" s="36"/>
      <c r="C93" s="36"/>
      <c r="D93" s="142"/>
    </row>
    <row r="94" spans="1:4">
      <c r="A94" s="36"/>
      <c r="B94" s="36"/>
      <c r="C94" s="36"/>
      <c r="D94" s="142"/>
    </row>
    <row r="95" spans="1:4">
      <c r="A95" s="36"/>
      <c r="B95" s="36"/>
      <c r="C95" s="36"/>
      <c r="D95" s="142"/>
    </row>
    <row r="96" spans="1:4">
      <c r="A96" s="123" t="s">
        <v>215</v>
      </c>
      <c r="B96" s="36">
        <f>B82+B83+B90</f>
        <v>47293</v>
      </c>
      <c r="C96" s="36">
        <f>C82+C83+C90</f>
        <v>44958</v>
      </c>
      <c r="D96" s="142">
        <f>C96/B96</f>
        <v>0.9506</v>
      </c>
    </row>
  </sheetData>
  <mergeCells count="2">
    <mergeCell ref="A1:D1"/>
    <mergeCell ref="A3:D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1"/>
  <sheetViews>
    <sheetView showZeros="0" zoomScaleSheetLayoutView="60" workbookViewId="0">
      <selection activeCell="E11" sqref="E11"/>
    </sheetView>
  </sheetViews>
  <sheetFormatPr defaultColWidth="9" defaultRowHeight="15" outlineLevelCol="7"/>
  <cols>
    <col min="1" max="1" width="36.5" style="125" customWidth="1"/>
    <col min="2" max="2" width="10.5" style="125" customWidth="1"/>
    <col min="3" max="3" width="8.625" style="125" customWidth="1"/>
    <col min="4" max="4" width="11.5" style="125" customWidth="1"/>
    <col min="5" max="5" width="51.875" style="125" customWidth="1"/>
    <col min="6" max="6" width="10.375" style="125" customWidth="1"/>
    <col min="7" max="7" width="9.375" style="125" customWidth="1"/>
    <col min="8" max="8" width="12" style="127" customWidth="1"/>
    <col min="9" max="16384" width="9" style="125"/>
  </cols>
  <sheetData>
    <row r="1" s="125" customFormat="1" ht="18" customHeight="1" spans="1:8">
      <c r="A1" s="599" t="s">
        <v>4284</v>
      </c>
      <c r="B1" s="105"/>
      <c r="C1" s="105"/>
      <c r="D1" s="105"/>
      <c r="E1" s="105"/>
      <c r="F1" s="105"/>
      <c r="G1" s="105"/>
      <c r="H1" s="128"/>
    </row>
    <row r="2" s="125" customFormat="1" ht="18" customHeight="1" spans="1:8">
      <c r="A2" s="129"/>
      <c r="H2" s="130" t="s">
        <v>51</v>
      </c>
    </row>
    <row r="3" s="125" customFormat="1" ht="24.75" customHeight="1" spans="1:8">
      <c r="A3" s="131" t="s">
        <v>4141</v>
      </c>
      <c r="B3" s="132"/>
      <c r="C3" s="132"/>
      <c r="D3" s="133"/>
      <c r="E3" s="131" t="s">
        <v>4142</v>
      </c>
      <c r="F3" s="132"/>
      <c r="G3" s="132"/>
      <c r="H3" s="134"/>
    </row>
    <row r="4" s="92" customFormat="1" ht="35.25" customHeight="1" spans="1:8">
      <c r="A4" s="39" t="s">
        <v>52</v>
      </c>
      <c r="B4" s="135" t="s">
        <v>4197</v>
      </c>
      <c r="C4" s="135" t="s">
        <v>4198</v>
      </c>
      <c r="D4" s="135" t="s">
        <v>1079</v>
      </c>
      <c r="E4" s="39" t="s">
        <v>52</v>
      </c>
      <c r="F4" s="135" t="s">
        <v>4197</v>
      </c>
      <c r="G4" s="135" t="s">
        <v>4198</v>
      </c>
      <c r="H4" s="136" t="s">
        <v>1079</v>
      </c>
    </row>
    <row r="5" s="126" customFormat="1" ht="20.1" customHeight="1" spans="1:8">
      <c r="A5" s="137" t="s">
        <v>4199</v>
      </c>
      <c r="B5" s="138">
        <f>SUM(B6:B34)</f>
        <v>5448</v>
      </c>
      <c r="C5" s="138">
        <f>SUM(C6:C34)</f>
        <v>23600</v>
      </c>
      <c r="D5" s="139">
        <f>C5/B5</f>
        <v>4.3319</v>
      </c>
      <c r="E5" s="117" t="s">
        <v>4215</v>
      </c>
      <c r="F5" s="140">
        <f>SUM(F6)</f>
        <v>0</v>
      </c>
      <c r="G5" s="140">
        <f>SUM(G6)</f>
        <v>0</v>
      </c>
      <c r="H5" s="139"/>
    </row>
    <row r="6" s="126" customFormat="1" ht="20.1" customHeight="1" spans="1:8">
      <c r="A6" s="141" t="s">
        <v>697</v>
      </c>
      <c r="B6" s="36"/>
      <c r="C6" s="36"/>
      <c r="D6" s="139"/>
      <c r="E6" s="119" t="s">
        <v>4216</v>
      </c>
      <c r="F6" s="36"/>
      <c r="G6" s="36"/>
      <c r="H6" s="142"/>
    </row>
    <row r="7" s="126" customFormat="1" ht="20.1" customHeight="1" spans="1:8">
      <c r="A7" s="141" t="s">
        <v>703</v>
      </c>
      <c r="B7" s="36"/>
      <c r="C7" s="36"/>
      <c r="D7" s="139"/>
      <c r="E7" s="117" t="s">
        <v>4217</v>
      </c>
      <c r="F7" s="138">
        <f>F8+F9</f>
        <v>0</v>
      </c>
      <c r="G7" s="138">
        <f>G8+G9</f>
        <v>0</v>
      </c>
      <c r="H7" s="139"/>
    </row>
    <row r="8" s="126" customFormat="1" ht="20.1" customHeight="1" spans="1:8">
      <c r="A8" s="141" t="s">
        <v>705</v>
      </c>
      <c r="B8" s="36"/>
      <c r="C8" s="36"/>
      <c r="D8" s="139"/>
      <c r="E8" s="120" t="s">
        <v>4218</v>
      </c>
      <c r="F8" s="36"/>
      <c r="G8" s="36"/>
      <c r="H8" s="142"/>
    </row>
    <row r="9" s="126" customFormat="1" ht="20.1" customHeight="1" spans="1:8">
      <c r="A9" s="141" t="s">
        <v>707</v>
      </c>
      <c r="B9" s="36"/>
      <c r="C9" s="36"/>
      <c r="D9" s="139"/>
      <c r="E9" s="119" t="s">
        <v>4216</v>
      </c>
      <c r="F9" s="36"/>
      <c r="G9" s="36"/>
      <c r="H9" s="142"/>
    </row>
    <row r="10" s="126" customFormat="1" ht="20.1" customHeight="1" spans="1:8">
      <c r="A10" s="141" t="s">
        <v>709</v>
      </c>
      <c r="B10" s="36"/>
      <c r="C10" s="36"/>
      <c r="D10" s="139"/>
      <c r="E10" s="117" t="s">
        <v>4219</v>
      </c>
      <c r="F10" s="138">
        <f>SUM(F11:F14)</f>
        <v>5</v>
      </c>
      <c r="G10" s="138">
        <f>SUM(G11:G14)</f>
        <v>9</v>
      </c>
      <c r="H10" s="139">
        <f>G10/F10</f>
        <v>1.8</v>
      </c>
    </row>
    <row r="11" s="126" customFormat="1" ht="20.1" customHeight="1" spans="1:8">
      <c r="A11" s="141" t="s">
        <v>711</v>
      </c>
      <c r="B11" s="36"/>
      <c r="C11" s="36"/>
      <c r="D11" s="139"/>
      <c r="E11" s="120" t="s">
        <v>4220</v>
      </c>
      <c r="F11" s="36">
        <v>5</v>
      </c>
      <c r="G11" s="36">
        <v>9</v>
      </c>
      <c r="H11" s="142">
        <f>G11/F11</f>
        <v>1.8</v>
      </c>
    </row>
    <row r="12" s="126" customFormat="1" ht="20.1" customHeight="1" spans="1:8">
      <c r="A12" s="141" t="s">
        <v>713</v>
      </c>
      <c r="B12" s="36"/>
      <c r="C12" s="36"/>
      <c r="D12" s="139"/>
      <c r="E12" s="120" t="s">
        <v>4221</v>
      </c>
      <c r="F12" s="36"/>
      <c r="G12" s="36"/>
      <c r="H12" s="142"/>
    </row>
    <row r="13" s="126" customFormat="1" ht="20.1" customHeight="1" spans="1:8">
      <c r="A13" s="141" t="s">
        <v>715</v>
      </c>
      <c r="B13" s="36"/>
      <c r="C13" s="36"/>
      <c r="D13" s="139"/>
      <c r="E13" s="120" t="s">
        <v>4222</v>
      </c>
      <c r="F13" s="36"/>
      <c r="G13" s="36"/>
      <c r="H13" s="142"/>
    </row>
    <row r="14" s="126" customFormat="1" ht="20.1" customHeight="1" spans="1:8">
      <c r="A14" s="141" t="s">
        <v>717</v>
      </c>
      <c r="B14" s="36">
        <v>4732</v>
      </c>
      <c r="C14" s="36">
        <v>22300</v>
      </c>
      <c r="D14" s="139">
        <f>C14/B14</f>
        <v>4.7126</v>
      </c>
      <c r="E14" s="119" t="s">
        <v>4216</v>
      </c>
      <c r="F14" s="36"/>
      <c r="G14" s="36"/>
      <c r="H14" s="142"/>
    </row>
    <row r="15" s="126" customFormat="1" ht="20.1" customHeight="1" spans="1:8">
      <c r="A15" s="141" t="s">
        <v>729</v>
      </c>
      <c r="B15" s="36"/>
      <c r="C15" s="36"/>
      <c r="D15" s="139"/>
      <c r="E15" s="117" t="s">
        <v>4223</v>
      </c>
      <c r="F15" s="138">
        <f>SUM(F16)</f>
        <v>0</v>
      </c>
      <c r="G15" s="138">
        <f>SUM(G16)</f>
        <v>0</v>
      </c>
      <c r="H15" s="139"/>
    </row>
    <row r="16" s="126" customFormat="1" ht="20.1" customHeight="1" spans="1:8">
      <c r="A16" s="141" t="s">
        <v>731</v>
      </c>
      <c r="B16" s="36"/>
      <c r="C16" s="36"/>
      <c r="D16" s="139"/>
      <c r="E16" s="119" t="s">
        <v>4216</v>
      </c>
      <c r="F16" s="36"/>
      <c r="G16" s="36"/>
      <c r="H16" s="142"/>
    </row>
    <row r="17" s="126" customFormat="1" ht="20.1" customHeight="1" spans="1:8">
      <c r="A17" s="141" t="s">
        <v>737</v>
      </c>
      <c r="B17" s="36"/>
      <c r="C17" s="36"/>
      <c r="D17" s="139"/>
      <c r="E17" s="117" t="s">
        <v>4224</v>
      </c>
      <c r="F17" s="138">
        <f>SUM(F18:F20)</f>
        <v>0</v>
      </c>
      <c r="G17" s="138">
        <f>SUM(G18:G20)</f>
        <v>0</v>
      </c>
      <c r="H17" s="139"/>
    </row>
    <row r="18" s="126" customFormat="1" ht="20.1" customHeight="1" spans="1:8">
      <c r="A18" s="141" t="s">
        <v>739</v>
      </c>
      <c r="B18" s="36"/>
      <c r="C18" s="36"/>
      <c r="D18" s="139"/>
      <c r="E18" s="119" t="s">
        <v>4225</v>
      </c>
      <c r="F18" s="36"/>
      <c r="G18" s="36"/>
      <c r="H18" s="142"/>
    </row>
    <row r="19" s="126" customFormat="1" ht="20.1" customHeight="1" spans="1:8">
      <c r="A19" s="141" t="s">
        <v>741</v>
      </c>
      <c r="B19" s="36"/>
      <c r="C19" s="36"/>
      <c r="D19" s="139"/>
      <c r="E19" s="119" t="s">
        <v>4226</v>
      </c>
      <c r="F19" s="36"/>
      <c r="G19" s="36"/>
      <c r="H19" s="142"/>
    </row>
    <row r="20" s="126" customFormat="1" ht="20.1" customHeight="1" spans="1:8">
      <c r="A20" s="141" t="s">
        <v>743</v>
      </c>
      <c r="B20" s="36"/>
      <c r="C20" s="36"/>
      <c r="D20" s="139"/>
      <c r="E20" s="119" t="s">
        <v>4216</v>
      </c>
      <c r="F20" s="36"/>
      <c r="G20" s="36"/>
      <c r="H20" s="142"/>
    </row>
    <row r="21" s="126" customFormat="1" ht="20.1" customHeight="1" spans="1:8">
      <c r="A21" s="141" t="s">
        <v>749</v>
      </c>
      <c r="B21" s="36">
        <v>116</v>
      </c>
      <c r="C21" s="36">
        <v>700</v>
      </c>
      <c r="D21" s="139">
        <f>C21/B21</f>
        <v>6.0345</v>
      </c>
      <c r="E21" s="117" t="s">
        <v>4227</v>
      </c>
      <c r="F21" s="138">
        <f>SUM(F22:F32)</f>
        <v>14947</v>
      </c>
      <c r="G21" s="138">
        <f>SUM(G22:G32)</f>
        <v>20881</v>
      </c>
      <c r="H21" s="139">
        <f t="shared" ref="H21:H24" si="0">G21/F21</f>
        <v>1.397</v>
      </c>
    </row>
    <row r="22" s="126" customFormat="1" ht="20.1" customHeight="1" spans="1:8">
      <c r="A22" s="141" t="s">
        <v>751</v>
      </c>
      <c r="B22" s="36"/>
      <c r="C22" s="36"/>
      <c r="D22" s="139"/>
      <c r="E22" s="119" t="s">
        <v>4228</v>
      </c>
      <c r="F22" s="36">
        <v>5344</v>
      </c>
      <c r="G22" s="36">
        <v>17782</v>
      </c>
      <c r="H22" s="142">
        <f t="shared" si="0"/>
        <v>3.3275</v>
      </c>
    </row>
    <row r="23" s="92" customFormat="1" ht="20.1" customHeight="1" spans="1:8">
      <c r="A23" s="141" t="s">
        <v>753</v>
      </c>
      <c r="B23" s="36"/>
      <c r="C23" s="36"/>
      <c r="D23" s="139"/>
      <c r="E23" s="119" t="s">
        <v>4229</v>
      </c>
      <c r="F23" s="36"/>
      <c r="G23" s="36"/>
      <c r="H23" s="142"/>
    </row>
    <row r="24" s="92" customFormat="1" ht="20.1" customHeight="1" spans="1:8">
      <c r="A24" s="141" t="s">
        <v>759</v>
      </c>
      <c r="B24" s="36"/>
      <c r="C24" s="36"/>
      <c r="D24" s="139"/>
      <c r="E24" s="119" t="s">
        <v>4230</v>
      </c>
      <c r="F24" s="36">
        <v>7</v>
      </c>
      <c r="G24" s="36">
        <v>262</v>
      </c>
      <c r="H24" s="142">
        <f t="shared" si="0"/>
        <v>37.4286</v>
      </c>
    </row>
    <row r="25" s="92" customFormat="1" ht="20.1" customHeight="1" spans="1:8">
      <c r="A25" s="141" t="s">
        <v>761</v>
      </c>
      <c r="B25" s="36"/>
      <c r="C25" s="36"/>
      <c r="D25" s="139"/>
      <c r="E25" s="119" t="s">
        <v>4231</v>
      </c>
      <c r="F25" s="36"/>
      <c r="G25" s="36"/>
      <c r="H25" s="142"/>
    </row>
    <row r="26" s="92" customFormat="1" ht="20.1" customHeight="1" spans="1:8">
      <c r="A26" s="141" t="s">
        <v>763</v>
      </c>
      <c r="B26" s="36"/>
      <c r="C26" s="36"/>
      <c r="D26" s="139"/>
      <c r="E26" s="119" t="s">
        <v>4232</v>
      </c>
      <c r="F26" s="36">
        <v>350</v>
      </c>
      <c r="G26" s="36">
        <v>696</v>
      </c>
      <c r="H26" s="142">
        <f>G26/F26</f>
        <v>1.9886</v>
      </c>
    </row>
    <row r="27" s="92" customFormat="1" ht="20.1" customHeight="1" spans="1:8">
      <c r="A27" s="141" t="s">
        <v>765</v>
      </c>
      <c r="B27" s="36"/>
      <c r="C27" s="36"/>
      <c r="D27" s="139"/>
      <c r="E27" s="119" t="s">
        <v>4233</v>
      </c>
      <c r="F27" s="36"/>
      <c r="G27" s="36"/>
      <c r="H27" s="142"/>
    </row>
    <row r="28" s="92" customFormat="1" ht="20.1" customHeight="1" spans="1:8">
      <c r="A28" s="141" t="s">
        <v>767</v>
      </c>
      <c r="B28" s="36"/>
      <c r="C28" s="36"/>
      <c r="D28" s="139"/>
      <c r="E28" s="119" t="s">
        <v>4234</v>
      </c>
      <c r="F28" s="36"/>
      <c r="G28" s="36">
        <v>200</v>
      </c>
      <c r="H28" s="142"/>
    </row>
    <row r="29" s="92" customFormat="1" ht="20.1" customHeight="1" spans="1:8">
      <c r="A29" s="141" t="s">
        <v>773</v>
      </c>
      <c r="B29" s="36">
        <v>600</v>
      </c>
      <c r="C29" s="36">
        <v>600</v>
      </c>
      <c r="D29" s="139">
        <f>C29/B29</f>
        <v>1</v>
      </c>
      <c r="E29" s="119" t="s">
        <v>4235</v>
      </c>
      <c r="F29" s="36"/>
      <c r="G29" s="36"/>
      <c r="H29" s="142"/>
    </row>
    <row r="30" s="92" customFormat="1" ht="20.1" customHeight="1" spans="1:8">
      <c r="A30" s="141" t="s">
        <v>4200</v>
      </c>
      <c r="B30" s="36"/>
      <c r="C30" s="36"/>
      <c r="D30" s="139"/>
      <c r="E30" s="119" t="s">
        <v>4236</v>
      </c>
      <c r="F30" s="36"/>
      <c r="G30" s="36"/>
      <c r="H30" s="142"/>
    </row>
    <row r="31" s="92" customFormat="1" ht="20.1" customHeight="1" spans="1:8">
      <c r="A31" s="141" t="s">
        <v>791</v>
      </c>
      <c r="B31" s="36"/>
      <c r="C31" s="36"/>
      <c r="D31" s="139"/>
      <c r="E31" s="119" t="s">
        <v>4237</v>
      </c>
      <c r="F31" s="36">
        <v>9246</v>
      </c>
      <c r="G31" s="36">
        <v>1941</v>
      </c>
      <c r="H31" s="142">
        <f t="shared" ref="H31:H34" si="1">G31/F31</f>
        <v>0.2099</v>
      </c>
    </row>
    <row r="32" s="92" customFormat="1" ht="20.1" customHeight="1" spans="1:8">
      <c r="A32" s="141" t="s">
        <v>4201</v>
      </c>
      <c r="B32" s="36"/>
      <c r="C32" s="36"/>
      <c r="D32" s="139"/>
      <c r="E32" s="119" t="s">
        <v>4216</v>
      </c>
      <c r="F32" s="36"/>
      <c r="G32" s="36"/>
      <c r="H32" s="142"/>
    </row>
    <row r="33" s="92" customFormat="1" ht="20.1" customHeight="1" spans="1:8">
      <c r="A33" s="141" t="s">
        <v>4202</v>
      </c>
      <c r="B33" s="36"/>
      <c r="C33" s="36"/>
      <c r="D33" s="139"/>
      <c r="E33" s="117" t="s">
        <v>4238</v>
      </c>
      <c r="F33" s="138">
        <f>SUM(F34:F42)</f>
        <v>972</v>
      </c>
      <c r="G33" s="138">
        <f>SUM(G34:G42)</f>
        <v>8271</v>
      </c>
      <c r="H33" s="139">
        <f t="shared" si="1"/>
        <v>8.5093</v>
      </c>
    </row>
    <row r="34" s="92" customFormat="1" ht="20.1" customHeight="1" spans="1:8">
      <c r="A34" s="141" t="s">
        <v>793</v>
      </c>
      <c r="B34" s="36"/>
      <c r="C34" s="36"/>
      <c r="D34" s="139"/>
      <c r="E34" s="119" t="s">
        <v>4239</v>
      </c>
      <c r="F34" s="36">
        <v>121</v>
      </c>
      <c r="G34" s="36">
        <v>1091</v>
      </c>
      <c r="H34" s="142">
        <f t="shared" si="1"/>
        <v>9.0165</v>
      </c>
    </row>
    <row r="35" s="92" customFormat="1" ht="19.9" customHeight="1" spans="1:8">
      <c r="A35" s="137" t="s">
        <v>795</v>
      </c>
      <c r="B35" s="138">
        <f>SUM(B36:B46)</f>
        <v>148</v>
      </c>
      <c r="C35" s="138">
        <f>SUM(C36:C46)</f>
        <v>0</v>
      </c>
      <c r="D35" s="139">
        <f>C35/B35</f>
        <v>0</v>
      </c>
      <c r="E35" s="119" t="s">
        <v>4240</v>
      </c>
      <c r="F35" s="36"/>
      <c r="G35" s="36"/>
      <c r="H35" s="142"/>
    </row>
    <row r="36" s="92" customFormat="1" ht="20.1" customHeight="1" spans="1:8">
      <c r="A36" s="141" t="s">
        <v>4203</v>
      </c>
      <c r="B36" s="36"/>
      <c r="C36" s="36"/>
      <c r="D36" s="139"/>
      <c r="E36" s="119" t="s">
        <v>4241</v>
      </c>
      <c r="F36" s="36">
        <v>7</v>
      </c>
      <c r="G36" s="36">
        <v>234</v>
      </c>
      <c r="H36" s="142">
        <f t="shared" ref="H36:H40" si="2">G36/F36</f>
        <v>33.4286</v>
      </c>
    </row>
    <row r="37" s="93" customFormat="1" ht="20.1" customHeight="1" spans="1:8">
      <c r="A37" s="141" t="s">
        <v>4204</v>
      </c>
      <c r="B37" s="36"/>
      <c r="C37" s="36"/>
      <c r="D37" s="139"/>
      <c r="E37" s="119" t="s">
        <v>4242</v>
      </c>
      <c r="F37" s="36"/>
      <c r="G37" s="36"/>
      <c r="H37" s="142"/>
    </row>
    <row r="38" s="92" customFormat="1" ht="20.1" customHeight="1" spans="1:8">
      <c r="A38" s="141" t="s">
        <v>4205</v>
      </c>
      <c r="B38" s="36"/>
      <c r="C38" s="36"/>
      <c r="D38" s="139"/>
      <c r="E38" s="121" t="s">
        <v>4243</v>
      </c>
      <c r="F38" s="36"/>
      <c r="G38" s="36"/>
      <c r="H38" s="142"/>
    </row>
    <row r="39" s="92" customFormat="1" ht="20.1" customHeight="1" spans="1:8">
      <c r="A39" s="141" t="s">
        <v>4206</v>
      </c>
      <c r="B39" s="36"/>
      <c r="C39" s="36"/>
      <c r="D39" s="139"/>
      <c r="E39" s="121" t="s">
        <v>4244</v>
      </c>
      <c r="F39" s="36">
        <v>842</v>
      </c>
      <c r="G39" s="36">
        <v>6691</v>
      </c>
      <c r="H39" s="142">
        <f t="shared" si="2"/>
        <v>7.9466</v>
      </c>
    </row>
    <row r="40" s="92" customFormat="1" ht="20.1" customHeight="1" spans="1:8">
      <c r="A40" s="141" t="s">
        <v>4207</v>
      </c>
      <c r="B40" s="36"/>
      <c r="C40" s="36"/>
      <c r="D40" s="139"/>
      <c r="E40" s="121" t="s">
        <v>4245</v>
      </c>
      <c r="F40" s="36">
        <v>2</v>
      </c>
      <c r="G40" s="36">
        <v>255</v>
      </c>
      <c r="H40" s="142">
        <f t="shared" si="2"/>
        <v>127.5</v>
      </c>
    </row>
    <row r="41" s="92" customFormat="1" ht="20.1" customHeight="1" spans="1:8">
      <c r="A41" s="141" t="s">
        <v>4208</v>
      </c>
      <c r="B41" s="36"/>
      <c r="C41" s="36"/>
      <c r="D41" s="139"/>
      <c r="E41" s="121" t="s">
        <v>4246</v>
      </c>
      <c r="F41" s="36"/>
      <c r="G41" s="36"/>
      <c r="H41" s="142"/>
    </row>
    <row r="42" s="92" customFormat="1" ht="20.1" customHeight="1" spans="1:8">
      <c r="A42" s="141" t="s">
        <v>4209</v>
      </c>
      <c r="B42" s="36"/>
      <c r="C42" s="36"/>
      <c r="D42" s="139"/>
      <c r="E42" s="121" t="s">
        <v>4216</v>
      </c>
      <c r="F42" s="36"/>
      <c r="G42" s="36"/>
      <c r="H42" s="142"/>
    </row>
    <row r="43" s="92" customFormat="1" ht="20.1" customHeight="1" spans="1:8">
      <c r="A43" s="141" t="s">
        <v>4210</v>
      </c>
      <c r="B43" s="36"/>
      <c r="C43" s="36"/>
      <c r="D43" s="139"/>
      <c r="E43" s="117" t="s">
        <v>4247</v>
      </c>
      <c r="F43" s="138">
        <f>SUM(F44:F52)</f>
        <v>0</v>
      </c>
      <c r="G43" s="138">
        <f>SUM(G44:G52)</f>
        <v>0</v>
      </c>
      <c r="H43" s="139"/>
    </row>
    <row r="44" s="92" customFormat="1" ht="20.1" customHeight="1" spans="1:8">
      <c r="A44" s="141" t="s">
        <v>4211</v>
      </c>
      <c r="B44" s="36"/>
      <c r="C44" s="36"/>
      <c r="D44" s="139"/>
      <c r="E44" s="119" t="s">
        <v>4248</v>
      </c>
      <c r="F44" s="36"/>
      <c r="G44" s="36"/>
      <c r="H44" s="142"/>
    </row>
    <row r="45" s="92" customFormat="1" ht="20.1" customHeight="1" spans="1:8">
      <c r="A45" s="141" t="s">
        <v>4212</v>
      </c>
      <c r="B45" s="36"/>
      <c r="C45" s="36"/>
      <c r="D45" s="139"/>
      <c r="E45" s="119" t="s">
        <v>4249</v>
      </c>
      <c r="F45" s="36"/>
      <c r="G45" s="36"/>
      <c r="H45" s="142"/>
    </row>
    <row r="46" s="92" customFormat="1" ht="20.1" customHeight="1" spans="1:8">
      <c r="A46" s="141" t="s">
        <v>4213</v>
      </c>
      <c r="B46" s="36">
        <v>148</v>
      </c>
      <c r="C46" s="36"/>
      <c r="D46" s="139">
        <f>C46/B46</f>
        <v>0</v>
      </c>
      <c r="E46" s="119" t="s">
        <v>4250</v>
      </c>
      <c r="F46" s="36"/>
      <c r="G46" s="36"/>
      <c r="H46" s="142"/>
    </row>
    <row r="47" s="92" customFormat="1" ht="20.1" customHeight="1" spans="1:8">
      <c r="A47" s="143"/>
      <c r="B47" s="36"/>
      <c r="C47" s="36"/>
      <c r="D47" s="142"/>
      <c r="E47" s="119" t="s">
        <v>4251</v>
      </c>
      <c r="F47" s="36"/>
      <c r="G47" s="36"/>
      <c r="H47" s="142"/>
    </row>
    <row r="48" s="92" customFormat="1" ht="20.1" customHeight="1" spans="1:8">
      <c r="A48" s="143"/>
      <c r="B48" s="36"/>
      <c r="C48" s="36"/>
      <c r="D48" s="142"/>
      <c r="E48" s="119" t="s">
        <v>4252</v>
      </c>
      <c r="F48" s="36"/>
      <c r="G48" s="36"/>
      <c r="H48" s="142"/>
    </row>
    <row r="49" s="92" customFormat="1" ht="20.1" customHeight="1" spans="1:8">
      <c r="A49" s="143"/>
      <c r="B49" s="36"/>
      <c r="C49" s="36"/>
      <c r="D49" s="142"/>
      <c r="E49" s="119" t="s">
        <v>4253</v>
      </c>
      <c r="F49" s="36"/>
      <c r="G49" s="36"/>
      <c r="H49" s="142"/>
    </row>
    <row r="50" s="92" customFormat="1" ht="20.1" customHeight="1" spans="1:8">
      <c r="A50" s="143"/>
      <c r="B50" s="36"/>
      <c r="C50" s="36"/>
      <c r="D50" s="142"/>
      <c r="E50" s="119" t="s">
        <v>4254</v>
      </c>
      <c r="F50" s="36"/>
      <c r="G50" s="36"/>
      <c r="H50" s="142"/>
    </row>
    <row r="51" s="92" customFormat="1" ht="20.1" customHeight="1" spans="1:8">
      <c r="A51" s="143"/>
      <c r="B51" s="36"/>
      <c r="C51" s="36"/>
      <c r="D51" s="142"/>
      <c r="E51" s="119" t="s">
        <v>4255</v>
      </c>
      <c r="F51" s="36"/>
      <c r="G51" s="36"/>
      <c r="H51" s="142"/>
    </row>
    <row r="52" s="92" customFormat="1" ht="20.1" customHeight="1" spans="1:8">
      <c r="A52" s="143"/>
      <c r="B52" s="36"/>
      <c r="C52" s="36"/>
      <c r="D52" s="142"/>
      <c r="E52" s="119" t="s">
        <v>4216</v>
      </c>
      <c r="F52" s="36"/>
      <c r="G52" s="36"/>
      <c r="H52" s="142"/>
    </row>
    <row r="53" s="92" customFormat="1" ht="20.1" customHeight="1" spans="1:8">
      <c r="A53" s="143"/>
      <c r="B53" s="36"/>
      <c r="C53" s="36"/>
      <c r="D53" s="142"/>
      <c r="E53" s="117" t="s">
        <v>4256</v>
      </c>
      <c r="F53" s="138">
        <f>SUM(F54:F55)</f>
        <v>137</v>
      </c>
      <c r="G53" s="138">
        <f>SUM(G54:G55)</f>
        <v>420</v>
      </c>
      <c r="H53" s="139">
        <f>G53/F53</f>
        <v>3.0657</v>
      </c>
    </row>
    <row r="54" s="92" customFormat="1" ht="20.1" customHeight="1" spans="1:8">
      <c r="A54" s="143"/>
      <c r="B54" s="36"/>
      <c r="C54" s="36"/>
      <c r="D54" s="142"/>
      <c r="E54" s="119" t="s">
        <v>4257</v>
      </c>
      <c r="F54" s="36"/>
      <c r="G54" s="36"/>
      <c r="H54" s="142"/>
    </row>
    <row r="55" s="92" customFormat="1" ht="20.1" customHeight="1" spans="1:8">
      <c r="A55" s="143"/>
      <c r="B55" s="36"/>
      <c r="C55" s="36"/>
      <c r="D55" s="142"/>
      <c r="E55" s="119" t="s">
        <v>4216</v>
      </c>
      <c r="F55" s="36">
        <v>137</v>
      </c>
      <c r="G55" s="36">
        <v>420</v>
      </c>
      <c r="H55" s="142">
        <f>G55/F55</f>
        <v>3.0657</v>
      </c>
    </row>
    <row r="56" s="92" customFormat="1" ht="20.1" customHeight="1" spans="1:8">
      <c r="A56" s="143"/>
      <c r="B56" s="36"/>
      <c r="C56" s="36"/>
      <c r="D56" s="142"/>
      <c r="E56" s="117" t="s">
        <v>4258</v>
      </c>
      <c r="F56" s="138">
        <f t="shared" ref="F56:F60" si="3">SUM(F57)</f>
        <v>0</v>
      </c>
      <c r="G56" s="138">
        <f t="shared" ref="G56:G60" si="4">SUM(G57)</f>
        <v>0</v>
      </c>
      <c r="H56" s="139"/>
    </row>
    <row r="57" s="92" customFormat="1" ht="20.1" customHeight="1" spans="1:8">
      <c r="A57" s="143"/>
      <c r="B57" s="36"/>
      <c r="C57" s="36"/>
      <c r="D57" s="142"/>
      <c r="E57" s="119" t="s">
        <v>4259</v>
      </c>
      <c r="F57" s="36"/>
      <c r="G57" s="36"/>
      <c r="H57" s="142"/>
    </row>
    <row r="58" s="92" customFormat="1" ht="20.1" customHeight="1" spans="1:8">
      <c r="A58" s="143"/>
      <c r="B58" s="36"/>
      <c r="C58" s="36"/>
      <c r="D58" s="142"/>
      <c r="E58" s="117" t="s">
        <v>4260</v>
      </c>
      <c r="F58" s="138">
        <f t="shared" si="3"/>
        <v>0</v>
      </c>
      <c r="G58" s="138">
        <f t="shared" si="4"/>
        <v>50</v>
      </c>
      <c r="H58" s="139"/>
    </row>
    <row r="59" s="92" customFormat="1" ht="20.1" customHeight="1" spans="1:8">
      <c r="A59" s="143"/>
      <c r="B59" s="36"/>
      <c r="C59" s="36"/>
      <c r="D59" s="142"/>
      <c r="E59" s="119" t="s">
        <v>4261</v>
      </c>
      <c r="F59" s="36"/>
      <c r="G59" s="36">
        <v>50</v>
      </c>
      <c r="H59" s="142"/>
    </row>
    <row r="60" s="92" customFormat="1" ht="20.1" customHeight="1" spans="1:8">
      <c r="A60" s="143"/>
      <c r="B60" s="36"/>
      <c r="C60" s="36"/>
      <c r="D60" s="142"/>
      <c r="E60" s="117" t="s">
        <v>4262</v>
      </c>
      <c r="F60" s="138">
        <f t="shared" si="3"/>
        <v>0</v>
      </c>
      <c r="G60" s="138">
        <f t="shared" si="4"/>
        <v>0</v>
      </c>
      <c r="H60" s="139"/>
    </row>
    <row r="61" s="92" customFormat="1" ht="20.1" customHeight="1" spans="1:8">
      <c r="A61" s="143"/>
      <c r="B61" s="36"/>
      <c r="C61" s="36"/>
      <c r="D61" s="142"/>
      <c r="E61" s="119" t="s">
        <v>4216</v>
      </c>
      <c r="F61" s="36"/>
      <c r="G61" s="36"/>
      <c r="H61" s="142"/>
    </row>
    <row r="62" s="92" customFormat="1" ht="20.1" customHeight="1" spans="1:8">
      <c r="A62" s="143"/>
      <c r="B62" s="36"/>
      <c r="C62" s="36"/>
      <c r="D62" s="142"/>
      <c r="E62" s="117" t="s">
        <v>4263</v>
      </c>
      <c r="F62" s="138">
        <f>SUM(F63)</f>
        <v>0</v>
      </c>
      <c r="G62" s="138">
        <f>SUM(G63)</f>
        <v>0</v>
      </c>
      <c r="H62" s="139"/>
    </row>
    <row r="63" s="92" customFormat="1" ht="20.1" customHeight="1" spans="1:8">
      <c r="A63" s="143"/>
      <c r="B63" s="36"/>
      <c r="C63" s="36"/>
      <c r="D63" s="142"/>
      <c r="E63" s="119" t="s">
        <v>4216</v>
      </c>
      <c r="F63" s="36"/>
      <c r="G63" s="36"/>
      <c r="H63" s="142"/>
    </row>
    <row r="64" s="92" customFormat="1" ht="20.1" customHeight="1" spans="1:8">
      <c r="A64" s="143"/>
      <c r="B64" s="36"/>
      <c r="C64" s="36"/>
      <c r="D64" s="142"/>
      <c r="E64" s="117" t="s">
        <v>4264</v>
      </c>
      <c r="F64" s="138">
        <f>SUM(F65)</f>
        <v>0</v>
      </c>
      <c r="G64" s="138">
        <f>SUM(G65)</f>
        <v>0</v>
      </c>
      <c r="H64" s="139"/>
    </row>
    <row r="65" s="92" customFormat="1" ht="20.1" customHeight="1" spans="1:8">
      <c r="A65" s="143"/>
      <c r="B65" s="36"/>
      <c r="C65" s="36"/>
      <c r="D65" s="142"/>
      <c r="E65" s="119" t="s">
        <v>4216</v>
      </c>
      <c r="F65" s="36"/>
      <c r="G65" s="36"/>
      <c r="H65" s="142"/>
    </row>
    <row r="66" s="92" customFormat="1" ht="20.1" customHeight="1" spans="1:8">
      <c r="A66" s="143"/>
      <c r="B66" s="36"/>
      <c r="C66" s="36"/>
      <c r="D66" s="142"/>
      <c r="E66" s="117" t="s">
        <v>4265</v>
      </c>
      <c r="F66" s="138">
        <f>SUM(F67:F72)</f>
        <v>1615</v>
      </c>
      <c r="G66" s="138">
        <f>SUM(G67:G72)</f>
        <v>1891</v>
      </c>
      <c r="H66" s="139">
        <f t="shared" ref="H66:H71" si="5">G66/F66</f>
        <v>1.1709</v>
      </c>
    </row>
    <row r="67" s="92" customFormat="1" ht="20.1" customHeight="1" spans="1:8">
      <c r="A67" s="143"/>
      <c r="B67" s="36"/>
      <c r="C67" s="36"/>
      <c r="D67" s="142"/>
      <c r="E67" s="119" t="s">
        <v>4266</v>
      </c>
      <c r="F67" s="36">
        <v>1100</v>
      </c>
      <c r="G67" s="36">
        <v>565</v>
      </c>
      <c r="H67" s="142">
        <f t="shared" si="5"/>
        <v>0.5136</v>
      </c>
    </row>
    <row r="68" s="92" customFormat="1" ht="20.1" customHeight="1" spans="1:8">
      <c r="A68" s="143"/>
      <c r="B68" s="36"/>
      <c r="C68" s="36"/>
      <c r="D68" s="142"/>
      <c r="E68" s="119" t="s">
        <v>4267</v>
      </c>
      <c r="F68" s="36"/>
      <c r="G68" s="36"/>
      <c r="H68" s="142"/>
    </row>
    <row r="69" s="92" customFormat="1" ht="20.1" customHeight="1" spans="1:8">
      <c r="A69" s="143"/>
      <c r="B69" s="36"/>
      <c r="C69" s="36"/>
      <c r="D69" s="142"/>
      <c r="E69" s="119" t="s">
        <v>4268</v>
      </c>
      <c r="F69" s="36"/>
      <c r="G69" s="36"/>
      <c r="H69" s="142"/>
    </row>
    <row r="70" s="92" customFormat="1" ht="20.1" customHeight="1" spans="1:8">
      <c r="A70" s="143"/>
      <c r="B70" s="36"/>
      <c r="C70" s="36"/>
      <c r="D70" s="142"/>
      <c r="E70" s="119" t="s">
        <v>4269</v>
      </c>
      <c r="F70" s="36"/>
      <c r="G70" s="36"/>
      <c r="H70" s="142"/>
    </row>
    <row r="71" s="92" customFormat="1" ht="20.1" customHeight="1" spans="1:8">
      <c r="A71" s="143"/>
      <c r="B71" s="36"/>
      <c r="C71" s="36"/>
      <c r="D71" s="142"/>
      <c r="E71" s="119" t="s">
        <v>4270</v>
      </c>
      <c r="F71" s="36">
        <v>515</v>
      </c>
      <c r="G71" s="36">
        <v>1326</v>
      </c>
      <c r="H71" s="142">
        <f t="shared" si="5"/>
        <v>2.5748</v>
      </c>
    </row>
    <row r="72" s="92" customFormat="1" ht="20.1" customHeight="1" spans="1:8">
      <c r="A72" s="143"/>
      <c r="B72" s="36"/>
      <c r="C72" s="36"/>
      <c r="D72" s="142"/>
      <c r="E72" s="119" t="s">
        <v>4271</v>
      </c>
      <c r="F72" s="36"/>
      <c r="G72" s="36"/>
      <c r="H72" s="142"/>
    </row>
    <row r="73" s="92" customFormat="1" ht="20.1" customHeight="1" spans="1:8">
      <c r="A73" s="143"/>
      <c r="B73" s="36"/>
      <c r="C73" s="36"/>
      <c r="D73" s="142"/>
      <c r="E73" s="117" t="s">
        <v>4272</v>
      </c>
      <c r="F73" s="138">
        <f>SUM(F74)</f>
        <v>939</v>
      </c>
      <c r="G73" s="138">
        <f>SUM(G74)</f>
        <v>1973</v>
      </c>
      <c r="H73" s="139">
        <f t="shared" ref="H73:H76" si="6">G73/F73</f>
        <v>2.1012</v>
      </c>
    </row>
    <row r="74" s="92" customFormat="1" ht="20.1" customHeight="1" spans="1:8">
      <c r="A74" s="143"/>
      <c r="B74" s="36"/>
      <c r="C74" s="36"/>
      <c r="D74" s="142"/>
      <c r="E74" s="119" t="s">
        <v>4273</v>
      </c>
      <c r="F74" s="36">
        <v>939</v>
      </c>
      <c r="G74" s="36">
        <v>1973</v>
      </c>
      <c r="H74" s="142">
        <f t="shared" si="6"/>
        <v>2.1012</v>
      </c>
    </row>
    <row r="75" s="92" customFormat="1" ht="20.1" customHeight="1" spans="1:8">
      <c r="A75" s="143"/>
      <c r="B75" s="36"/>
      <c r="C75" s="36"/>
      <c r="D75" s="142"/>
      <c r="E75" s="117" t="s">
        <v>4274</v>
      </c>
      <c r="F75" s="138">
        <f>SUM(F76)</f>
        <v>19</v>
      </c>
      <c r="G75" s="138">
        <f>SUM(G76)</f>
        <v>0</v>
      </c>
      <c r="H75" s="139">
        <f t="shared" si="6"/>
        <v>0</v>
      </c>
    </row>
    <row r="76" s="92" customFormat="1" ht="20.1" customHeight="1" spans="1:8">
      <c r="A76" s="143"/>
      <c r="B76" s="36"/>
      <c r="C76" s="36"/>
      <c r="D76" s="142"/>
      <c r="E76" s="119" t="s">
        <v>4275</v>
      </c>
      <c r="F76" s="36">
        <v>19</v>
      </c>
      <c r="G76" s="36"/>
      <c r="H76" s="142">
        <f t="shared" si="6"/>
        <v>0</v>
      </c>
    </row>
    <row r="77" s="92" customFormat="1" ht="20.1" customHeight="1" spans="1:8">
      <c r="A77" s="143"/>
      <c r="B77" s="36"/>
      <c r="C77" s="36"/>
      <c r="D77" s="142"/>
      <c r="E77" s="117" t="s">
        <v>4276</v>
      </c>
      <c r="F77" s="138">
        <f>SUM(F78:F79)</f>
        <v>0</v>
      </c>
      <c r="G77" s="138">
        <f>SUM(G78:G79)</f>
        <v>0</v>
      </c>
      <c r="H77" s="139"/>
    </row>
    <row r="78" s="92" customFormat="1" ht="20.1" customHeight="1" spans="1:8">
      <c r="A78" s="143"/>
      <c r="B78" s="36"/>
      <c r="C78" s="36"/>
      <c r="D78" s="142"/>
      <c r="E78" s="119" t="s">
        <v>4277</v>
      </c>
      <c r="F78" s="36"/>
      <c r="G78" s="36"/>
      <c r="H78" s="142"/>
    </row>
    <row r="79" s="92" customFormat="1" ht="20.1" customHeight="1" spans="1:8">
      <c r="A79" s="143"/>
      <c r="B79" s="36"/>
      <c r="C79" s="36"/>
      <c r="D79" s="142"/>
      <c r="E79" s="119" t="s">
        <v>4278</v>
      </c>
      <c r="F79" s="36"/>
      <c r="G79" s="36"/>
      <c r="H79" s="142"/>
    </row>
    <row r="80" s="92" customFormat="1" ht="20.1" customHeight="1" spans="1:8">
      <c r="A80" s="143"/>
      <c r="B80" s="36"/>
      <c r="C80" s="36"/>
      <c r="D80" s="142"/>
      <c r="E80" s="122"/>
      <c r="F80" s="36"/>
      <c r="G80" s="36"/>
      <c r="H80" s="142"/>
    </row>
    <row r="81" s="92" customFormat="1" ht="20.1" customHeight="1" spans="1:8">
      <c r="A81" s="143"/>
      <c r="B81" s="36"/>
      <c r="C81" s="36"/>
      <c r="D81" s="142"/>
      <c r="E81" s="122"/>
      <c r="F81" s="36"/>
      <c r="G81" s="36"/>
      <c r="H81" s="142"/>
    </row>
    <row r="82" s="93" customFormat="1" ht="20.1" customHeight="1" spans="1:8">
      <c r="A82" s="123" t="s">
        <v>81</v>
      </c>
      <c r="B82" s="124">
        <f>B35+B5</f>
        <v>5596</v>
      </c>
      <c r="C82" s="124">
        <f>C35+C5</f>
        <v>23600</v>
      </c>
      <c r="D82" s="144">
        <f t="shared" ref="D82:D96" si="7">C82/B82</f>
        <v>4.2173</v>
      </c>
      <c r="E82" s="123" t="s">
        <v>433</v>
      </c>
      <c r="F82" s="124">
        <f>F5+F7+F10+F15+F17+F21+F33+F43+F53+F56+F58+F60+F62+F64+F66+F73+F75+F77</f>
        <v>18634</v>
      </c>
      <c r="G82" s="124">
        <f>G5+G7+G10+G15+G17+G21+G33+G43+G53+G56+G58+G60+G62+G64+G66+G73+G75+G77</f>
        <v>33495</v>
      </c>
      <c r="H82" s="144">
        <f>G82/F82</f>
        <v>1.7975</v>
      </c>
    </row>
    <row r="83" s="92" customFormat="1" ht="20.1" customHeight="1" spans="1:8">
      <c r="A83" s="145" t="s">
        <v>4285</v>
      </c>
      <c r="B83" s="138">
        <f>SUM(B84:B86)</f>
        <v>0</v>
      </c>
      <c r="C83" s="138">
        <f>SUM(C84:C86)</f>
        <v>0</v>
      </c>
      <c r="D83" s="139" t="e">
        <f t="shared" si="7"/>
        <v>#DIV/0!</v>
      </c>
      <c r="E83" s="117" t="s">
        <v>95</v>
      </c>
      <c r="F83" s="138">
        <f>SUM(F84:F89)</f>
        <v>20236</v>
      </c>
      <c r="G83" s="138">
        <f>SUM(G84:G89)</f>
        <v>11463</v>
      </c>
      <c r="H83" s="139">
        <f>G83/F83</f>
        <v>0.5665</v>
      </c>
    </row>
    <row r="84" s="92" customFormat="1" ht="20.1" customHeight="1" spans="1:8">
      <c r="A84" s="121" t="s">
        <v>4286</v>
      </c>
      <c r="B84" s="36"/>
      <c r="C84" s="36"/>
      <c r="D84" s="142" t="e">
        <f t="shared" si="7"/>
        <v>#DIV/0!</v>
      </c>
      <c r="E84" s="121" t="s">
        <v>4279</v>
      </c>
      <c r="F84" s="36"/>
      <c r="G84" s="36"/>
      <c r="H84" s="142"/>
    </row>
    <row r="85" s="92" customFormat="1" ht="20.1" customHeight="1" spans="1:8">
      <c r="A85" s="121" t="s">
        <v>4287</v>
      </c>
      <c r="B85" s="36"/>
      <c r="C85" s="36"/>
      <c r="D85" s="142" t="e">
        <f t="shared" si="7"/>
        <v>#DIV/0!</v>
      </c>
      <c r="E85" s="121" t="s">
        <v>4280</v>
      </c>
      <c r="F85" s="36"/>
      <c r="G85" s="36"/>
      <c r="H85" s="142"/>
    </row>
    <row r="86" s="92" customFormat="1" ht="20.1" customHeight="1" spans="1:8">
      <c r="A86" s="121" t="s">
        <v>4287</v>
      </c>
      <c r="B86" s="36"/>
      <c r="C86" s="36"/>
      <c r="D86" s="142" t="e">
        <f t="shared" si="7"/>
        <v>#DIV/0!</v>
      </c>
      <c r="E86" s="121" t="s">
        <v>191</v>
      </c>
      <c r="F86" s="36"/>
      <c r="G86" s="36">
        <v>11463</v>
      </c>
      <c r="H86" s="142"/>
    </row>
    <row r="87" s="92" customFormat="1" ht="20.1" customHeight="1" spans="1:8">
      <c r="A87" s="145" t="s">
        <v>94</v>
      </c>
      <c r="B87" s="138">
        <f>SUM(B88:B94)</f>
        <v>41697</v>
      </c>
      <c r="C87" s="138">
        <f>SUM(C88:C94)</f>
        <v>21358</v>
      </c>
      <c r="D87" s="139">
        <f t="shared" si="7"/>
        <v>0.5122</v>
      </c>
      <c r="E87" s="121" t="s">
        <v>210</v>
      </c>
      <c r="F87" s="36">
        <v>20236</v>
      </c>
      <c r="G87" s="36"/>
      <c r="H87" s="142"/>
    </row>
    <row r="88" s="92" customFormat="1" ht="20.1" customHeight="1" spans="1:8">
      <c r="A88" s="119" t="s">
        <v>4288</v>
      </c>
      <c r="B88" s="36">
        <v>2529</v>
      </c>
      <c r="C88" s="36">
        <v>1122</v>
      </c>
      <c r="D88" s="142">
        <f t="shared" si="7"/>
        <v>0.4437</v>
      </c>
      <c r="E88" s="121" t="s">
        <v>4281</v>
      </c>
      <c r="F88" s="36"/>
      <c r="G88" s="36"/>
      <c r="H88" s="142"/>
    </row>
    <row r="89" s="92" customFormat="1" ht="20.1" customHeight="1" spans="1:8">
      <c r="A89" s="119" t="s">
        <v>4289</v>
      </c>
      <c r="B89" s="36"/>
      <c r="C89" s="36"/>
      <c r="D89" s="142" t="e">
        <f t="shared" si="7"/>
        <v>#DIV/0!</v>
      </c>
      <c r="E89" s="121" t="s">
        <v>4282</v>
      </c>
      <c r="F89" s="36"/>
      <c r="G89" s="36"/>
      <c r="H89" s="142"/>
    </row>
    <row r="90" s="92" customFormat="1" ht="20.1" customHeight="1" spans="1:8">
      <c r="A90" s="119" t="s">
        <v>209</v>
      </c>
      <c r="B90" s="36">
        <v>20219</v>
      </c>
      <c r="C90" s="36">
        <v>20236</v>
      </c>
      <c r="D90" s="142">
        <f t="shared" si="7"/>
        <v>1.0008</v>
      </c>
      <c r="E90" s="117" t="s">
        <v>955</v>
      </c>
      <c r="F90" s="138">
        <f>SUM(F91:F93)</f>
        <v>8423</v>
      </c>
      <c r="G90" s="138">
        <f>SUM(G91:G93)</f>
        <v>0</v>
      </c>
      <c r="H90" s="139">
        <f>G90/F90</f>
        <v>0</v>
      </c>
    </row>
    <row r="91" s="92" customFormat="1" ht="20.1" customHeight="1" spans="1:8">
      <c r="A91" s="119" t="s">
        <v>4290</v>
      </c>
      <c r="B91" s="36"/>
      <c r="C91" s="36"/>
      <c r="D91" s="142" t="e">
        <f t="shared" si="7"/>
        <v>#DIV/0!</v>
      </c>
      <c r="E91" s="119" t="s">
        <v>956</v>
      </c>
      <c r="F91" s="36">
        <v>8423</v>
      </c>
      <c r="G91" s="36"/>
      <c r="H91" s="142">
        <f>G91/F91</f>
        <v>0</v>
      </c>
    </row>
    <row r="92" s="92" customFormat="1" ht="20.1" customHeight="1" spans="1:8">
      <c r="A92" s="146" t="s">
        <v>4291</v>
      </c>
      <c r="B92" s="36">
        <v>18949</v>
      </c>
      <c r="C92" s="36"/>
      <c r="D92" s="142">
        <f t="shared" si="7"/>
        <v>0</v>
      </c>
      <c r="E92" s="119" t="s">
        <v>957</v>
      </c>
      <c r="F92" s="36"/>
      <c r="G92" s="36"/>
      <c r="H92" s="142"/>
    </row>
    <row r="93" s="92" customFormat="1" ht="20.1" customHeight="1" spans="1:8">
      <c r="A93" s="146" t="s">
        <v>4292</v>
      </c>
      <c r="B93" s="36"/>
      <c r="C93" s="36"/>
      <c r="D93" s="142" t="e">
        <f t="shared" si="7"/>
        <v>#DIV/0!</v>
      </c>
      <c r="E93" s="119" t="s">
        <v>4283</v>
      </c>
      <c r="F93" s="36"/>
      <c r="G93" s="36"/>
      <c r="H93" s="142"/>
    </row>
    <row r="94" s="92" customFormat="1" ht="20.1" customHeight="1" spans="1:8">
      <c r="A94" s="146" t="s">
        <v>4292</v>
      </c>
      <c r="B94" s="36"/>
      <c r="C94" s="36"/>
      <c r="D94" s="142" t="e">
        <f t="shared" si="7"/>
        <v>#DIV/0!</v>
      </c>
      <c r="E94" s="36"/>
      <c r="F94" s="36"/>
      <c r="G94" s="36"/>
      <c r="H94" s="142"/>
    </row>
    <row r="95" s="92" customFormat="1" ht="20.1" customHeight="1" spans="1:8">
      <c r="A95" s="36"/>
      <c r="B95" s="36"/>
      <c r="C95" s="36"/>
      <c r="D95" s="142" t="e">
        <f t="shared" si="7"/>
        <v>#DIV/0!</v>
      </c>
      <c r="E95" s="36"/>
      <c r="F95" s="36"/>
      <c r="G95" s="36"/>
      <c r="H95" s="142"/>
    </row>
    <row r="96" s="92" customFormat="1" ht="20.1" customHeight="1" spans="1:8">
      <c r="A96" s="123" t="s">
        <v>214</v>
      </c>
      <c r="B96" s="36">
        <f>B82+B83+B87</f>
        <v>47293</v>
      </c>
      <c r="C96" s="36">
        <f>C82+C83+C87</f>
        <v>44958</v>
      </c>
      <c r="D96" s="142">
        <f t="shared" si="7"/>
        <v>0.9506</v>
      </c>
      <c r="E96" s="123" t="s">
        <v>215</v>
      </c>
      <c r="F96" s="36">
        <f>F82+F83+F90</f>
        <v>47293</v>
      </c>
      <c r="G96" s="36">
        <f>G82+G83+G90</f>
        <v>44958</v>
      </c>
      <c r="H96" s="142">
        <f>G96/F96</f>
        <v>0.9506</v>
      </c>
    </row>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sheetData>
  <mergeCells count="3">
    <mergeCell ref="A1:H1"/>
    <mergeCell ref="A3:D3"/>
    <mergeCell ref="E3:H3"/>
  </mergeCells>
  <printOptions horizontalCentered="1"/>
  <pageMargins left="0.511811023622047" right="0.511811023622047" top="0.551181102362205" bottom="0.551181102362205" header="0.31496062992126" footer="0.31496062992126"/>
  <pageSetup paperSize="9" scale="86" fitToHeight="14" orientation="landscape" blackAndWhite="1"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6"/>
  <sheetViews>
    <sheetView workbookViewId="0">
      <selection activeCell="F11" sqref="F11"/>
    </sheetView>
  </sheetViews>
  <sheetFormatPr defaultColWidth="9" defaultRowHeight="15" outlineLevelCol="3"/>
  <cols>
    <col min="1" max="1" width="51.875" style="125" customWidth="1"/>
    <col min="2" max="2" width="10.375" style="125" customWidth="1"/>
    <col min="3" max="3" width="9.375" style="125" customWidth="1"/>
    <col min="4" max="4" width="12" style="125" customWidth="1"/>
    <col min="5" max="16384" width="9" style="125"/>
  </cols>
  <sheetData>
    <row r="1" s="125" customFormat="1" ht="18" customHeight="1" spans="1:4">
      <c r="A1" s="105" t="s">
        <v>4293</v>
      </c>
      <c r="B1" s="105"/>
      <c r="C1" s="105"/>
      <c r="D1" s="105"/>
    </row>
    <row r="2" s="125" customFormat="1" ht="18" customHeight="1" spans="4:4">
      <c r="D2" s="147" t="s">
        <v>51</v>
      </c>
    </row>
    <row r="3" s="125" customFormat="1" ht="24.75" customHeight="1" spans="1:4">
      <c r="A3" s="131" t="s">
        <v>4142</v>
      </c>
      <c r="B3" s="132"/>
      <c r="C3" s="132"/>
      <c r="D3" s="133"/>
    </row>
    <row r="4" s="92" customFormat="1" ht="35.25" customHeight="1" spans="1:4">
      <c r="A4" s="39" t="s">
        <v>52</v>
      </c>
      <c r="B4" s="135" t="s">
        <v>4197</v>
      </c>
      <c r="C4" s="135" t="s">
        <v>4198</v>
      </c>
      <c r="D4" s="136" t="s">
        <v>1079</v>
      </c>
    </row>
    <row r="5" s="126" customFormat="1" ht="20.1" customHeight="1" spans="1:4">
      <c r="A5" s="117" t="s">
        <v>4215</v>
      </c>
      <c r="B5" s="140">
        <f>SUM(B6)</f>
        <v>0</v>
      </c>
      <c r="C5" s="140">
        <f>SUM(C6)</f>
        <v>0</v>
      </c>
      <c r="D5" s="139"/>
    </row>
    <row r="6" s="126" customFormat="1" ht="20.1" customHeight="1" spans="1:4">
      <c r="A6" s="119" t="s">
        <v>4216</v>
      </c>
      <c r="B6" s="36"/>
      <c r="C6" s="36"/>
      <c r="D6" s="142"/>
    </row>
    <row r="7" s="126" customFormat="1" ht="20.1" customHeight="1" spans="1:4">
      <c r="A7" s="117" t="s">
        <v>4217</v>
      </c>
      <c r="B7" s="138">
        <f>B8+B9</f>
        <v>0</v>
      </c>
      <c r="C7" s="138">
        <f>C8+C9</f>
        <v>0</v>
      </c>
      <c r="D7" s="139"/>
    </row>
    <row r="8" s="126" customFormat="1" ht="20.1" customHeight="1" spans="1:4">
      <c r="A8" s="120" t="s">
        <v>4218</v>
      </c>
      <c r="B8" s="36"/>
      <c r="C8" s="36"/>
      <c r="D8" s="142"/>
    </row>
    <row r="9" s="126" customFormat="1" ht="20.1" customHeight="1" spans="1:4">
      <c r="A9" s="119" t="s">
        <v>4216</v>
      </c>
      <c r="B9" s="36"/>
      <c r="C9" s="36"/>
      <c r="D9" s="142"/>
    </row>
    <row r="10" s="126" customFormat="1" ht="20.1" customHeight="1" spans="1:4">
      <c r="A10" s="117" t="s">
        <v>4219</v>
      </c>
      <c r="B10" s="138">
        <f>SUM(B11:B14)</f>
        <v>5</v>
      </c>
      <c r="C10" s="138">
        <f>SUM(C11:C14)</f>
        <v>9</v>
      </c>
      <c r="D10" s="139">
        <f>C10/B10</f>
        <v>1.8</v>
      </c>
    </row>
    <row r="11" s="126" customFormat="1" ht="20.1" customHeight="1" spans="1:4">
      <c r="A11" s="120" t="s">
        <v>4220</v>
      </c>
      <c r="B11" s="36">
        <v>5</v>
      </c>
      <c r="C11" s="36">
        <v>9</v>
      </c>
      <c r="D11" s="142">
        <f>C11/B11</f>
        <v>1.8</v>
      </c>
    </row>
    <row r="12" s="126" customFormat="1" ht="20.1" customHeight="1" spans="1:4">
      <c r="A12" s="120" t="s">
        <v>4221</v>
      </c>
      <c r="B12" s="36"/>
      <c r="C12" s="36"/>
      <c r="D12" s="142"/>
    </row>
    <row r="13" s="126" customFormat="1" ht="20.1" customHeight="1" spans="1:4">
      <c r="A13" s="120" t="s">
        <v>4222</v>
      </c>
      <c r="B13" s="36"/>
      <c r="C13" s="36"/>
      <c r="D13" s="142"/>
    </row>
    <row r="14" s="126" customFormat="1" ht="20.1" customHeight="1" spans="1:4">
      <c r="A14" s="119" t="s">
        <v>4216</v>
      </c>
      <c r="B14" s="36"/>
      <c r="C14" s="36"/>
      <c r="D14" s="142"/>
    </row>
    <row r="15" s="126" customFormat="1" ht="20.1" customHeight="1" spans="1:4">
      <c r="A15" s="117" t="s">
        <v>4223</v>
      </c>
      <c r="B15" s="138">
        <f>SUM(B16)</f>
        <v>0</v>
      </c>
      <c r="C15" s="138">
        <f>SUM(C16)</f>
        <v>0</v>
      </c>
      <c r="D15" s="139"/>
    </row>
    <row r="16" s="126" customFormat="1" ht="20.1" customHeight="1" spans="1:4">
      <c r="A16" s="119" t="s">
        <v>4216</v>
      </c>
      <c r="B16" s="36"/>
      <c r="C16" s="36"/>
      <c r="D16" s="142"/>
    </row>
    <row r="17" s="126" customFormat="1" ht="20.1" customHeight="1" spans="1:4">
      <c r="A17" s="117" t="s">
        <v>4224</v>
      </c>
      <c r="B17" s="138">
        <f>SUM(B18:B20)</f>
        <v>0</v>
      </c>
      <c r="C17" s="138">
        <f>SUM(C18:C20)</f>
        <v>0</v>
      </c>
      <c r="D17" s="139"/>
    </row>
    <row r="18" s="126" customFormat="1" ht="20.1" customHeight="1" spans="1:4">
      <c r="A18" s="119" t="s">
        <v>4225</v>
      </c>
      <c r="B18" s="36"/>
      <c r="C18" s="36"/>
      <c r="D18" s="142"/>
    </row>
    <row r="19" s="126" customFormat="1" ht="20.1" customHeight="1" spans="1:4">
      <c r="A19" s="119" t="s">
        <v>4226</v>
      </c>
      <c r="B19" s="36"/>
      <c r="C19" s="36"/>
      <c r="D19" s="142"/>
    </row>
    <row r="20" s="126" customFormat="1" ht="20.1" customHeight="1" spans="1:4">
      <c r="A20" s="119" t="s">
        <v>4216</v>
      </c>
      <c r="B20" s="36"/>
      <c r="C20" s="36"/>
      <c r="D20" s="142"/>
    </row>
    <row r="21" s="126" customFormat="1" ht="20.1" customHeight="1" spans="1:4">
      <c r="A21" s="117" t="s">
        <v>4227</v>
      </c>
      <c r="B21" s="138">
        <f>SUM(B22:B32)</f>
        <v>14947</v>
      </c>
      <c r="C21" s="138">
        <f>SUM(C22:C32)</f>
        <v>20881</v>
      </c>
      <c r="D21" s="139">
        <f t="shared" ref="D21:D24" si="0">C21/B21</f>
        <v>1.397</v>
      </c>
    </row>
    <row r="22" s="126" customFormat="1" ht="20.1" customHeight="1" spans="1:4">
      <c r="A22" s="119" t="s">
        <v>4228</v>
      </c>
      <c r="B22" s="36">
        <v>5344</v>
      </c>
      <c r="C22" s="36">
        <v>17782</v>
      </c>
      <c r="D22" s="142">
        <f t="shared" si="0"/>
        <v>3.3275</v>
      </c>
    </row>
    <row r="23" s="92" customFormat="1" ht="20.1" customHeight="1" spans="1:4">
      <c r="A23" s="119" t="s">
        <v>4229</v>
      </c>
      <c r="B23" s="36"/>
      <c r="C23" s="36"/>
      <c r="D23" s="142"/>
    </row>
    <row r="24" s="92" customFormat="1" ht="20.1" customHeight="1" spans="1:4">
      <c r="A24" s="119" t="s">
        <v>4230</v>
      </c>
      <c r="B24" s="36">
        <v>7</v>
      </c>
      <c r="C24" s="36">
        <v>262</v>
      </c>
      <c r="D24" s="142">
        <f t="shared" si="0"/>
        <v>37.4286</v>
      </c>
    </row>
    <row r="25" s="92" customFormat="1" ht="20.1" customHeight="1" spans="1:4">
      <c r="A25" s="119" t="s">
        <v>4231</v>
      </c>
      <c r="B25" s="36"/>
      <c r="C25" s="36"/>
      <c r="D25" s="142"/>
    </row>
    <row r="26" s="92" customFormat="1" ht="20.1" customHeight="1" spans="1:4">
      <c r="A26" s="119" t="s">
        <v>4232</v>
      </c>
      <c r="B26" s="36">
        <v>350</v>
      </c>
      <c r="C26" s="36">
        <v>696</v>
      </c>
      <c r="D26" s="142">
        <f>C26/B26</f>
        <v>1.9886</v>
      </c>
    </row>
    <row r="27" s="92" customFormat="1" ht="20.1" customHeight="1" spans="1:4">
      <c r="A27" s="119" t="s">
        <v>4233</v>
      </c>
      <c r="B27" s="36"/>
      <c r="C27" s="36"/>
      <c r="D27" s="142"/>
    </row>
    <row r="28" s="92" customFormat="1" ht="20.1" customHeight="1" spans="1:4">
      <c r="A28" s="119" t="s">
        <v>4234</v>
      </c>
      <c r="B28" s="36"/>
      <c r="C28" s="36">
        <v>200</v>
      </c>
      <c r="D28" s="142"/>
    </row>
    <row r="29" s="92" customFormat="1" ht="20.1" customHeight="1" spans="1:4">
      <c r="A29" s="119" t="s">
        <v>4235</v>
      </c>
      <c r="B29" s="36"/>
      <c r="C29" s="36"/>
      <c r="D29" s="142"/>
    </row>
    <row r="30" s="92" customFormat="1" ht="20.1" customHeight="1" spans="1:4">
      <c r="A30" s="119" t="s">
        <v>4236</v>
      </c>
      <c r="B30" s="36"/>
      <c r="C30" s="36"/>
      <c r="D30" s="142"/>
    </row>
    <row r="31" s="92" customFormat="1" ht="20.1" customHeight="1" spans="1:4">
      <c r="A31" s="119" t="s">
        <v>4237</v>
      </c>
      <c r="B31" s="36">
        <v>9246</v>
      </c>
      <c r="C31" s="36">
        <v>1941</v>
      </c>
      <c r="D31" s="142">
        <f t="shared" ref="D31:D34" si="1">C31/B31</f>
        <v>0.2099</v>
      </c>
    </row>
    <row r="32" s="92" customFormat="1" ht="20.1" customHeight="1" spans="1:4">
      <c r="A32" s="119" t="s">
        <v>4216</v>
      </c>
      <c r="B32" s="36"/>
      <c r="C32" s="36"/>
      <c r="D32" s="142"/>
    </row>
    <row r="33" s="92" customFormat="1" ht="20.1" customHeight="1" spans="1:4">
      <c r="A33" s="117" t="s">
        <v>4238</v>
      </c>
      <c r="B33" s="138">
        <f>SUM(B34:B42)</f>
        <v>972</v>
      </c>
      <c r="C33" s="138">
        <f>SUM(C34:C42)</f>
        <v>8271</v>
      </c>
      <c r="D33" s="139">
        <f t="shared" si="1"/>
        <v>8.5093</v>
      </c>
    </row>
    <row r="34" s="92" customFormat="1" ht="20.1" customHeight="1" spans="1:4">
      <c r="A34" s="119" t="s">
        <v>4239</v>
      </c>
      <c r="B34" s="36">
        <v>121</v>
      </c>
      <c r="C34" s="36">
        <v>1091</v>
      </c>
      <c r="D34" s="142">
        <f t="shared" si="1"/>
        <v>9.0165</v>
      </c>
    </row>
    <row r="35" s="92" customFormat="1" ht="19.9" customHeight="1" spans="1:4">
      <c r="A35" s="119" t="s">
        <v>4240</v>
      </c>
      <c r="B35" s="36"/>
      <c r="C35" s="36"/>
      <c r="D35" s="142"/>
    </row>
    <row r="36" s="92" customFormat="1" ht="20.1" customHeight="1" spans="1:4">
      <c r="A36" s="119" t="s">
        <v>4241</v>
      </c>
      <c r="B36" s="36">
        <v>7</v>
      </c>
      <c r="C36" s="36">
        <v>234</v>
      </c>
      <c r="D36" s="142">
        <f t="shared" ref="D36:D40" si="2">C36/B36</f>
        <v>33.4286</v>
      </c>
    </row>
    <row r="37" s="93" customFormat="1" ht="20.1" customHeight="1" spans="1:4">
      <c r="A37" s="119" t="s">
        <v>4242</v>
      </c>
      <c r="B37" s="36"/>
      <c r="C37" s="36"/>
      <c r="D37" s="142"/>
    </row>
    <row r="38" s="92" customFormat="1" ht="20.1" customHeight="1" spans="1:4">
      <c r="A38" s="121" t="s">
        <v>4243</v>
      </c>
      <c r="B38" s="36"/>
      <c r="C38" s="36"/>
      <c r="D38" s="142"/>
    </row>
    <row r="39" s="92" customFormat="1" ht="20.1" customHeight="1" spans="1:4">
      <c r="A39" s="121" t="s">
        <v>4244</v>
      </c>
      <c r="B39" s="36">
        <v>842</v>
      </c>
      <c r="C39" s="36">
        <v>6691</v>
      </c>
      <c r="D39" s="142">
        <f t="shared" si="2"/>
        <v>7.9466</v>
      </c>
    </row>
    <row r="40" s="92" customFormat="1" ht="20.1" customHeight="1" spans="1:4">
      <c r="A40" s="121" t="s">
        <v>4245</v>
      </c>
      <c r="B40" s="36">
        <v>2</v>
      </c>
      <c r="C40" s="36">
        <v>255</v>
      </c>
      <c r="D40" s="142">
        <f t="shared" si="2"/>
        <v>127.5</v>
      </c>
    </row>
    <row r="41" s="92" customFormat="1" ht="20.1" customHeight="1" spans="1:4">
      <c r="A41" s="121" t="s">
        <v>4246</v>
      </c>
      <c r="B41" s="36"/>
      <c r="C41" s="36"/>
      <c r="D41" s="142"/>
    </row>
    <row r="42" s="92" customFormat="1" ht="20.1" customHeight="1" spans="1:4">
      <c r="A42" s="121" t="s">
        <v>4216</v>
      </c>
      <c r="B42" s="36"/>
      <c r="C42" s="36"/>
      <c r="D42" s="142"/>
    </row>
    <row r="43" s="92" customFormat="1" ht="20.1" customHeight="1" spans="1:4">
      <c r="A43" s="117" t="s">
        <v>4247</v>
      </c>
      <c r="B43" s="138">
        <f>SUM(B44:B52)</f>
        <v>0</v>
      </c>
      <c r="C43" s="138">
        <f>SUM(C44:C52)</f>
        <v>0</v>
      </c>
      <c r="D43" s="139"/>
    </row>
    <row r="44" s="92" customFormat="1" ht="20.1" customHeight="1" spans="1:4">
      <c r="A44" s="119" t="s">
        <v>4248</v>
      </c>
      <c r="B44" s="36"/>
      <c r="C44" s="36"/>
      <c r="D44" s="142"/>
    </row>
    <row r="45" s="92" customFormat="1" ht="20.1" customHeight="1" spans="1:4">
      <c r="A45" s="119" t="s">
        <v>4249</v>
      </c>
      <c r="B45" s="36"/>
      <c r="C45" s="36"/>
      <c r="D45" s="142"/>
    </row>
    <row r="46" s="92" customFormat="1" ht="20.1" customHeight="1" spans="1:4">
      <c r="A46" s="119" t="s">
        <v>4250</v>
      </c>
      <c r="B46" s="36"/>
      <c r="C46" s="36"/>
      <c r="D46" s="142"/>
    </row>
    <row r="47" s="92" customFormat="1" ht="20.1" customHeight="1" spans="1:4">
      <c r="A47" s="119" t="s">
        <v>4251</v>
      </c>
      <c r="B47" s="36"/>
      <c r="C47" s="36"/>
      <c r="D47" s="142"/>
    </row>
    <row r="48" s="92" customFormat="1" ht="20.1" customHeight="1" spans="1:4">
      <c r="A48" s="119" t="s">
        <v>4252</v>
      </c>
      <c r="B48" s="36"/>
      <c r="C48" s="36"/>
      <c r="D48" s="142"/>
    </row>
    <row r="49" s="92" customFormat="1" ht="20.1" customHeight="1" spans="1:4">
      <c r="A49" s="119" t="s">
        <v>4253</v>
      </c>
      <c r="B49" s="36"/>
      <c r="C49" s="36"/>
      <c r="D49" s="142"/>
    </row>
    <row r="50" s="92" customFormat="1" ht="20.1" customHeight="1" spans="1:4">
      <c r="A50" s="119" t="s">
        <v>4254</v>
      </c>
      <c r="B50" s="36"/>
      <c r="C50" s="36"/>
      <c r="D50" s="142"/>
    </row>
    <row r="51" s="92" customFormat="1" ht="20.1" customHeight="1" spans="1:4">
      <c r="A51" s="119" t="s">
        <v>4255</v>
      </c>
      <c r="B51" s="36"/>
      <c r="C51" s="36"/>
      <c r="D51" s="142"/>
    </row>
    <row r="52" s="92" customFormat="1" ht="20.1" customHeight="1" spans="1:4">
      <c r="A52" s="119" t="s">
        <v>4216</v>
      </c>
      <c r="B52" s="36"/>
      <c r="C52" s="36"/>
      <c r="D52" s="142"/>
    </row>
    <row r="53" s="92" customFormat="1" ht="20.1" customHeight="1" spans="1:4">
      <c r="A53" s="117" t="s">
        <v>4256</v>
      </c>
      <c r="B53" s="138">
        <f>SUM(B54:B55)</f>
        <v>137</v>
      </c>
      <c r="C53" s="138">
        <f>SUM(C54:C55)</f>
        <v>420</v>
      </c>
      <c r="D53" s="139">
        <f>C53/B53</f>
        <v>3.0657</v>
      </c>
    </row>
    <row r="54" s="92" customFormat="1" ht="20.1" customHeight="1" spans="1:4">
      <c r="A54" s="119" t="s">
        <v>4257</v>
      </c>
      <c r="B54" s="36"/>
      <c r="C54" s="36"/>
      <c r="D54" s="142"/>
    </row>
    <row r="55" s="92" customFormat="1" ht="20.1" customHeight="1" spans="1:4">
      <c r="A55" s="119" t="s">
        <v>4216</v>
      </c>
      <c r="B55" s="36">
        <v>137</v>
      </c>
      <c r="C55" s="36">
        <v>420</v>
      </c>
      <c r="D55" s="142">
        <f>C55/B55</f>
        <v>3.0657</v>
      </c>
    </row>
    <row r="56" s="92" customFormat="1" ht="20.1" customHeight="1" spans="1:4">
      <c r="A56" s="117" t="s">
        <v>4258</v>
      </c>
      <c r="B56" s="138">
        <f t="shared" ref="B56:B60" si="3">SUM(B57)</f>
        <v>0</v>
      </c>
      <c r="C56" s="138">
        <f t="shared" ref="C56:C60" si="4">SUM(C57)</f>
        <v>0</v>
      </c>
      <c r="D56" s="139"/>
    </row>
    <row r="57" s="92" customFormat="1" ht="20.1" customHeight="1" spans="1:4">
      <c r="A57" s="119" t="s">
        <v>4259</v>
      </c>
      <c r="B57" s="36"/>
      <c r="C57" s="36"/>
      <c r="D57" s="142"/>
    </row>
    <row r="58" s="92" customFormat="1" ht="20.1" customHeight="1" spans="1:4">
      <c r="A58" s="117" t="s">
        <v>4260</v>
      </c>
      <c r="B58" s="138">
        <f t="shared" si="3"/>
        <v>0</v>
      </c>
      <c r="C58" s="138">
        <f t="shared" si="4"/>
        <v>50</v>
      </c>
      <c r="D58" s="139"/>
    </row>
    <row r="59" s="92" customFormat="1" ht="20.1" customHeight="1" spans="1:4">
      <c r="A59" s="119" t="s">
        <v>4261</v>
      </c>
      <c r="B59" s="36"/>
      <c r="C59" s="36">
        <v>50</v>
      </c>
      <c r="D59" s="142"/>
    </row>
    <row r="60" s="92" customFormat="1" ht="20.1" customHeight="1" spans="1:4">
      <c r="A60" s="117" t="s">
        <v>4262</v>
      </c>
      <c r="B60" s="138">
        <f t="shared" si="3"/>
        <v>0</v>
      </c>
      <c r="C60" s="138">
        <f t="shared" si="4"/>
        <v>0</v>
      </c>
      <c r="D60" s="139"/>
    </row>
    <row r="61" s="92" customFormat="1" ht="20.1" customHeight="1" spans="1:4">
      <c r="A61" s="119" t="s">
        <v>4216</v>
      </c>
      <c r="B61" s="36"/>
      <c r="C61" s="36"/>
      <c r="D61" s="142"/>
    </row>
    <row r="62" s="92" customFormat="1" ht="20.1" customHeight="1" spans="1:4">
      <c r="A62" s="117" t="s">
        <v>4263</v>
      </c>
      <c r="B62" s="138">
        <f>SUM(B63)</f>
        <v>0</v>
      </c>
      <c r="C62" s="138">
        <f>SUM(C63)</f>
        <v>0</v>
      </c>
      <c r="D62" s="139"/>
    </row>
    <row r="63" s="92" customFormat="1" ht="20.1" customHeight="1" spans="1:4">
      <c r="A63" s="119" t="s">
        <v>4216</v>
      </c>
      <c r="B63" s="36"/>
      <c r="C63" s="36"/>
      <c r="D63" s="142"/>
    </row>
    <row r="64" s="92" customFormat="1" ht="20.1" customHeight="1" spans="1:4">
      <c r="A64" s="117" t="s">
        <v>4264</v>
      </c>
      <c r="B64" s="138">
        <f>SUM(B65)</f>
        <v>0</v>
      </c>
      <c r="C64" s="138">
        <f>SUM(C65)</f>
        <v>0</v>
      </c>
      <c r="D64" s="139"/>
    </row>
    <row r="65" s="92" customFormat="1" ht="20.1" customHeight="1" spans="1:4">
      <c r="A65" s="119" t="s">
        <v>4216</v>
      </c>
      <c r="B65" s="36"/>
      <c r="C65" s="36"/>
      <c r="D65" s="142"/>
    </row>
    <row r="66" s="125" customFormat="1" ht="20.1" customHeight="1" spans="1:4">
      <c r="A66" s="117" t="s">
        <v>4265</v>
      </c>
      <c r="B66" s="138">
        <f>SUM(B67:B72)</f>
        <v>1615</v>
      </c>
      <c r="C66" s="138">
        <f>SUM(C67:C72)</f>
        <v>1891</v>
      </c>
      <c r="D66" s="139">
        <f t="shared" ref="D66:D71" si="5">C66/B66</f>
        <v>1.1709</v>
      </c>
    </row>
    <row r="67" s="125" customFormat="1" ht="20.1" customHeight="1" spans="1:4">
      <c r="A67" s="119" t="s">
        <v>4266</v>
      </c>
      <c r="B67" s="36">
        <v>1100</v>
      </c>
      <c r="C67" s="36">
        <v>565</v>
      </c>
      <c r="D67" s="142">
        <f t="shared" si="5"/>
        <v>0.5136</v>
      </c>
    </row>
    <row r="68" s="125" customFormat="1" ht="20.1" customHeight="1" spans="1:4">
      <c r="A68" s="119" t="s">
        <v>4267</v>
      </c>
      <c r="B68" s="36"/>
      <c r="C68" s="36"/>
      <c r="D68" s="142"/>
    </row>
    <row r="69" s="125" customFormat="1" ht="20.1" customHeight="1" spans="1:4">
      <c r="A69" s="119" t="s">
        <v>4268</v>
      </c>
      <c r="B69" s="36"/>
      <c r="C69" s="36"/>
      <c r="D69" s="142"/>
    </row>
    <row r="70" s="125" customFormat="1" ht="20.1" customHeight="1" spans="1:4">
      <c r="A70" s="119" t="s">
        <v>4269</v>
      </c>
      <c r="B70" s="36"/>
      <c r="C70" s="36"/>
      <c r="D70" s="142"/>
    </row>
    <row r="71" s="125" customFormat="1" ht="20.1" customHeight="1" spans="1:4">
      <c r="A71" s="119" t="s">
        <v>4270</v>
      </c>
      <c r="B71" s="36">
        <v>515</v>
      </c>
      <c r="C71" s="36">
        <v>1326</v>
      </c>
      <c r="D71" s="142">
        <f t="shared" si="5"/>
        <v>2.5748</v>
      </c>
    </row>
    <row r="72" s="125" customFormat="1" ht="20.1" customHeight="1" spans="1:4">
      <c r="A72" s="119" t="s">
        <v>4271</v>
      </c>
      <c r="B72" s="36"/>
      <c r="C72" s="36"/>
      <c r="D72" s="142"/>
    </row>
    <row r="73" s="125" customFormat="1" ht="20.1" customHeight="1" spans="1:4">
      <c r="A73" s="117" t="s">
        <v>4272</v>
      </c>
      <c r="B73" s="138">
        <f>SUM(B74)</f>
        <v>939</v>
      </c>
      <c r="C73" s="138">
        <f>SUM(C74)</f>
        <v>1973</v>
      </c>
      <c r="D73" s="139">
        <f t="shared" ref="D73:D76" si="6">C73/B73</f>
        <v>2.1012</v>
      </c>
    </row>
    <row r="74" s="125" customFormat="1" ht="20.1" customHeight="1" spans="1:4">
      <c r="A74" s="119" t="s">
        <v>4273</v>
      </c>
      <c r="B74" s="36">
        <v>939</v>
      </c>
      <c r="C74" s="36">
        <v>1973</v>
      </c>
      <c r="D74" s="142">
        <f t="shared" si="6"/>
        <v>2.1012</v>
      </c>
    </row>
    <row r="75" s="125" customFormat="1" ht="20.1" customHeight="1" spans="1:4">
      <c r="A75" s="117" t="s">
        <v>4274</v>
      </c>
      <c r="B75" s="138">
        <f>SUM(B76)</f>
        <v>19</v>
      </c>
      <c r="C75" s="138">
        <f>SUM(C76)</f>
        <v>0</v>
      </c>
      <c r="D75" s="139">
        <f t="shared" si="6"/>
        <v>0</v>
      </c>
    </row>
    <row r="76" s="125" customFormat="1" ht="20.1" customHeight="1" spans="1:4">
      <c r="A76" s="119" t="s">
        <v>4275</v>
      </c>
      <c r="B76" s="36">
        <v>19</v>
      </c>
      <c r="C76" s="36"/>
      <c r="D76" s="142">
        <f t="shared" si="6"/>
        <v>0</v>
      </c>
    </row>
    <row r="77" s="125" customFormat="1" ht="20.1" customHeight="1" spans="1:4">
      <c r="A77" s="117" t="s">
        <v>4276</v>
      </c>
      <c r="B77" s="138">
        <f>SUM(B78:B79)</f>
        <v>0</v>
      </c>
      <c r="C77" s="138">
        <f>SUM(C78:C79)</f>
        <v>0</v>
      </c>
      <c r="D77" s="139"/>
    </row>
    <row r="78" s="125" customFormat="1" ht="20.1" customHeight="1" spans="1:4">
      <c r="A78" s="119" t="s">
        <v>4277</v>
      </c>
      <c r="B78" s="36"/>
      <c r="C78" s="36"/>
      <c r="D78" s="142"/>
    </row>
    <row r="79" s="125" customFormat="1" ht="20.1" customHeight="1" spans="1:4">
      <c r="A79" s="119" t="s">
        <v>4278</v>
      </c>
      <c r="B79" s="36"/>
      <c r="C79" s="36"/>
      <c r="D79" s="142"/>
    </row>
    <row r="80" s="125" customFormat="1" ht="20.1" customHeight="1" spans="1:4">
      <c r="A80" s="122"/>
      <c r="B80" s="36"/>
      <c r="C80" s="36"/>
      <c r="D80" s="142"/>
    </row>
    <row r="81" s="125" customFormat="1" spans="1:4">
      <c r="A81" s="122"/>
      <c r="B81" s="36"/>
      <c r="C81" s="36"/>
      <c r="D81" s="142"/>
    </row>
    <row r="82" s="125" customFormat="1" spans="1:4">
      <c r="A82" s="123" t="s">
        <v>433</v>
      </c>
      <c r="B82" s="124">
        <f>B5+B7+B10+B15+B17+B21+B33+B43+B53+B56+B58+B60+B62+B64+B66+B73+B75+B77</f>
        <v>18634</v>
      </c>
      <c r="C82" s="124">
        <f>C5+C7+C10+C15+C17+C21+C33+C43+C53+C56+C58+C60+C62+C64+C66+C73+C75+C77</f>
        <v>33495</v>
      </c>
      <c r="D82" s="144">
        <f t="shared" ref="D82:D87" si="7">C82/B82</f>
        <v>1.7975</v>
      </c>
    </row>
    <row r="83" s="125" customFormat="1" spans="1:4">
      <c r="A83" s="117" t="s">
        <v>95</v>
      </c>
      <c r="B83" s="138">
        <f>SUM(B84:B89)</f>
        <v>20236</v>
      </c>
      <c r="C83" s="138">
        <f>SUM(C84:C89)</f>
        <v>11463</v>
      </c>
      <c r="D83" s="139">
        <f t="shared" si="7"/>
        <v>0.5665</v>
      </c>
    </row>
    <row r="84" s="125" customFormat="1" spans="1:4">
      <c r="A84" s="121" t="s">
        <v>4279</v>
      </c>
      <c r="B84" s="36"/>
      <c r="C84" s="36"/>
      <c r="D84" s="142"/>
    </row>
    <row r="85" s="125" customFormat="1" spans="1:4">
      <c r="A85" s="121" t="s">
        <v>4280</v>
      </c>
      <c r="B85" s="36"/>
      <c r="C85" s="36"/>
      <c r="D85" s="142"/>
    </row>
    <row r="86" s="125" customFormat="1" spans="1:4">
      <c r="A86" s="121" t="s">
        <v>191</v>
      </c>
      <c r="B86" s="36"/>
      <c r="C86" s="36">
        <v>11463</v>
      </c>
      <c r="D86" s="142"/>
    </row>
    <row r="87" s="125" customFormat="1" spans="1:4">
      <c r="A87" s="121" t="s">
        <v>210</v>
      </c>
      <c r="B87" s="36">
        <v>20236</v>
      </c>
      <c r="C87" s="36"/>
      <c r="D87" s="142">
        <f t="shared" si="7"/>
        <v>0</v>
      </c>
    </row>
    <row r="88" s="125" customFormat="1" spans="1:4">
      <c r="A88" s="121" t="s">
        <v>4281</v>
      </c>
      <c r="B88" s="36"/>
      <c r="C88" s="36"/>
      <c r="D88" s="142"/>
    </row>
    <row r="89" s="125" customFormat="1" spans="1:4">
      <c r="A89" s="121" t="s">
        <v>4282</v>
      </c>
      <c r="B89" s="36"/>
      <c r="C89" s="36"/>
      <c r="D89" s="142"/>
    </row>
    <row r="90" s="125" customFormat="1" spans="1:4">
      <c r="A90" s="117" t="s">
        <v>955</v>
      </c>
      <c r="B90" s="138">
        <f>SUM(B91:B93)</f>
        <v>8423</v>
      </c>
      <c r="C90" s="138">
        <f>SUM(C91:C93)</f>
        <v>0</v>
      </c>
      <c r="D90" s="139">
        <f>C90/B90</f>
        <v>0</v>
      </c>
    </row>
    <row r="91" s="125" customFormat="1" spans="1:4">
      <c r="A91" s="119" t="s">
        <v>956</v>
      </c>
      <c r="B91" s="36">
        <v>8423</v>
      </c>
      <c r="C91" s="36"/>
      <c r="D91" s="142">
        <f>C91/B91</f>
        <v>0</v>
      </c>
    </row>
    <row r="92" s="125" customFormat="1" spans="1:4">
      <c r="A92" s="119" t="s">
        <v>957</v>
      </c>
      <c r="B92" s="36"/>
      <c r="C92" s="36"/>
      <c r="D92" s="142"/>
    </row>
    <row r="93" s="125" customFormat="1" spans="1:4">
      <c r="A93" s="119" t="s">
        <v>4283</v>
      </c>
      <c r="B93" s="36"/>
      <c r="C93" s="36"/>
      <c r="D93" s="142"/>
    </row>
    <row r="94" s="125" customFormat="1" spans="1:4">
      <c r="A94" s="36"/>
      <c r="B94" s="36"/>
      <c r="C94" s="36"/>
      <c r="D94" s="142"/>
    </row>
    <row r="95" s="125" customFormat="1" spans="1:4">
      <c r="A95" s="36"/>
      <c r="B95" s="36"/>
      <c r="C95" s="36"/>
      <c r="D95" s="142"/>
    </row>
    <row r="96" s="125" customFormat="1" spans="1:4">
      <c r="A96" s="123" t="s">
        <v>215</v>
      </c>
      <c r="B96" s="36">
        <f>B82+B83+B90</f>
        <v>47293</v>
      </c>
      <c r="C96" s="36">
        <f>C82+C83+C90</f>
        <v>44958</v>
      </c>
      <c r="D96" s="142">
        <f>C96/B96</f>
        <v>0.9506</v>
      </c>
    </row>
  </sheetData>
  <mergeCells count="2">
    <mergeCell ref="A1:D1"/>
    <mergeCell ref="A3:D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zoomScaleSheetLayoutView="60" workbookViewId="0">
      <selection activeCell="A1" sqref="$A1:$XFD65536"/>
    </sheetView>
  </sheetViews>
  <sheetFormatPr defaultColWidth="9" defaultRowHeight="15" outlineLevelCol="7"/>
  <cols>
    <col min="1" max="1" width="36.5" style="125" customWidth="1"/>
    <col min="2" max="2" width="10.5" style="125" customWidth="1"/>
    <col min="3" max="3" width="8.625" style="125" customWidth="1"/>
    <col min="4" max="4" width="11.5" style="125" customWidth="1"/>
    <col min="5" max="5" width="51.875" style="125" customWidth="1"/>
    <col min="6" max="6" width="10.375" style="125" customWidth="1"/>
    <col min="7" max="7" width="9.375" style="125" customWidth="1"/>
    <col min="8" max="8" width="12" style="127" customWidth="1"/>
    <col min="9" max="16384" width="9" style="125"/>
  </cols>
  <sheetData>
    <row r="1" s="125" customFormat="1" ht="18" customHeight="1" spans="1:8">
      <c r="A1" s="599" t="s">
        <v>4294</v>
      </c>
      <c r="B1" s="105"/>
      <c r="C1" s="105"/>
      <c r="D1" s="105"/>
      <c r="E1" s="105"/>
      <c r="F1" s="105"/>
      <c r="G1" s="105"/>
      <c r="H1" s="128"/>
    </row>
    <row r="2" s="125" customFormat="1" ht="18" customHeight="1" spans="1:8">
      <c r="A2" s="129"/>
      <c r="H2" s="130" t="s">
        <v>51</v>
      </c>
    </row>
    <row r="3" s="125" customFormat="1" ht="24.75" customHeight="1" spans="1:8">
      <c r="A3" s="131" t="s">
        <v>4141</v>
      </c>
      <c r="B3" s="132"/>
      <c r="C3" s="132"/>
      <c r="D3" s="133"/>
      <c r="E3" s="131" t="s">
        <v>4142</v>
      </c>
      <c r="F3" s="132"/>
      <c r="G3" s="132"/>
      <c r="H3" s="134"/>
    </row>
    <row r="4" s="92" customFormat="1" ht="35.25" customHeight="1" spans="1:8">
      <c r="A4" s="39" t="s">
        <v>52</v>
      </c>
      <c r="B4" s="135" t="s">
        <v>4197</v>
      </c>
      <c r="C4" s="135" t="s">
        <v>4198</v>
      </c>
      <c r="D4" s="135" t="s">
        <v>1079</v>
      </c>
      <c r="E4" s="39" t="s">
        <v>52</v>
      </c>
      <c r="F4" s="135" t="s">
        <v>4197</v>
      </c>
      <c r="G4" s="135" t="s">
        <v>4198</v>
      </c>
      <c r="H4" s="136" t="s">
        <v>1079</v>
      </c>
    </row>
    <row r="5" s="126" customFormat="1" ht="20.1" customHeight="1" spans="1:8">
      <c r="A5" s="137" t="s">
        <v>4199</v>
      </c>
      <c r="B5" s="138">
        <f>SUM(B6:B34)</f>
        <v>5448</v>
      </c>
      <c r="C5" s="138">
        <f>SUM(C6:C34)</f>
        <v>23600</v>
      </c>
      <c r="D5" s="139">
        <f>C5/B5</f>
        <v>4.3319</v>
      </c>
      <c r="E5" s="117" t="s">
        <v>4215</v>
      </c>
      <c r="F5" s="140">
        <f>SUM(F6)</f>
        <v>0</v>
      </c>
      <c r="G5" s="140">
        <f>SUM(G6)</f>
        <v>0</v>
      </c>
      <c r="H5" s="139"/>
    </row>
    <row r="6" s="126" customFormat="1" ht="20.1" customHeight="1" spans="1:8">
      <c r="A6" s="141" t="s">
        <v>697</v>
      </c>
      <c r="B6" s="36"/>
      <c r="C6" s="36"/>
      <c r="D6" s="139"/>
      <c r="E6" s="119" t="s">
        <v>4216</v>
      </c>
      <c r="F6" s="36"/>
      <c r="G6" s="36"/>
      <c r="H6" s="142"/>
    </row>
    <row r="7" s="126" customFormat="1" ht="20.1" customHeight="1" spans="1:8">
      <c r="A7" s="141" t="s">
        <v>703</v>
      </c>
      <c r="B7" s="36"/>
      <c r="C7" s="36"/>
      <c r="D7" s="139"/>
      <c r="E7" s="117" t="s">
        <v>4217</v>
      </c>
      <c r="F7" s="138">
        <f>F8+F9</f>
        <v>0</v>
      </c>
      <c r="G7" s="138">
        <f>G8+G9</f>
        <v>0</v>
      </c>
      <c r="H7" s="139"/>
    </row>
    <row r="8" s="126" customFormat="1" ht="20.1" customHeight="1" spans="1:8">
      <c r="A8" s="141" t="s">
        <v>705</v>
      </c>
      <c r="B8" s="36"/>
      <c r="C8" s="36"/>
      <c r="D8" s="139"/>
      <c r="E8" s="120" t="s">
        <v>4218</v>
      </c>
      <c r="F8" s="36"/>
      <c r="G8" s="36"/>
      <c r="H8" s="142"/>
    </row>
    <row r="9" s="126" customFormat="1" ht="20.1" customHeight="1" spans="1:8">
      <c r="A9" s="141" t="s">
        <v>707</v>
      </c>
      <c r="B9" s="36"/>
      <c r="C9" s="36"/>
      <c r="D9" s="139"/>
      <c r="E9" s="119" t="s">
        <v>4216</v>
      </c>
      <c r="F9" s="36"/>
      <c r="G9" s="36"/>
      <c r="H9" s="142"/>
    </row>
    <row r="10" s="126" customFormat="1" ht="20.1" customHeight="1" spans="1:8">
      <c r="A10" s="141" t="s">
        <v>709</v>
      </c>
      <c r="B10" s="36"/>
      <c r="C10" s="36"/>
      <c r="D10" s="139"/>
      <c r="E10" s="117" t="s">
        <v>4219</v>
      </c>
      <c r="F10" s="138">
        <f>SUM(F11:F14)</f>
        <v>5</v>
      </c>
      <c r="G10" s="138">
        <f>SUM(G11:G14)</f>
        <v>9</v>
      </c>
      <c r="H10" s="139">
        <f>G10/F10</f>
        <v>1.8</v>
      </c>
    </row>
    <row r="11" s="126" customFormat="1" ht="20.1" customHeight="1" spans="1:8">
      <c r="A11" s="141" t="s">
        <v>711</v>
      </c>
      <c r="B11" s="36"/>
      <c r="C11" s="36"/>
      <c r="D11" s="139"/>
      <c r="E11" s="120" t="s">
        <v>4220</v>
      </c>
      <c r="F11" s="36">
        <v>5</v>
      </c>
      <c r="G11" s="36">
        <v>9</v>
      </c>
      <c r="H11" s="142">
        <f>G11/F11</f>
        <v>1.8</v>
      </c>
    </row>
    <row r="12" s="126" customFormat="1" ht="20.1" customHeight="1" spans="1:8">
      <c r="A12" s="141" t="s">
        <v>713</v>
      </c>
      <c r="B12" s="36"/>
      <c r="C12" s="36"/>
      <c r="D12" s="139"/>
      <c r="E12" s="120" t="s">
        <v>4221</v>
      </c>
      <c r="F12" s="36"/>
      <c r="G12" s="36"/>
      <c r="H12" s="142"/>
    </row>
    <row r="13" s="126" customFormat="1" ht="20.1" customHeight="1" spans="1:8">
      <c r="A13" s="141" t="s">
        <v>715</v>
      </c>
      <c r="B13" s="36"/>
      <c r="C13" s="36"/>
      <c r="D13" s="139"/>
      <c r="E13" s="120" t="s">
        <v>4222</v>
      </c>
      <c r="F13" s="36"/>
      <c r="G13" s="36"/>
      <c r="H13" s="142"/>
    </row>
    <row r="14" s="126" customFormat="1" ht="20.1" customHeight="1" spans="1:8">
      <c r="A14" s="141" t="s">
        <v>717</v>
      </c>
      <c r="B14" s="36">
        <v>4732</v>
      </c>
      <c r="C14" s="36">
        <v>22300</v>
      </c>
      <c r="D14" s="139">
        <f>C14/B14</f>
        <v>4.7126</v>
      </c>
      <c r="E14" s="119" t="s">
        <v>4216</v>
      </c>
      <c r="F14" s="36"/>
      <c r="G14" s="36"/>
      <c r="H14" s="142"/>
    </row>
    <row r="15" s="126" customFormat="1" ht="20.1" customHeight="1" spans="1:8">
      <c r="A15" s="141" t="s">
        <v>729</v>
      </c>
      <c r="B15" s="36"/>
      <c r="C15" s="36"/>
      <c r="D15" s="139"/>
      <c r="E15" s="117" t="s">
        <v>4223</v>
      </c>
      <c r="F15" s="138">
        <f>SUM(F16)</f>
        <v>0</v>
      </c>
      <c r="G15" s="138">
        <f>SUM(G16)</f>
        <v>0</v>
      </c>
      <c r="H15" s="139"/>
    </row>
    <row r="16" s="126" customFormat="1" ht="20.1" customHeight="1" spans="1:8">
      <c r="A16" s="141" t="s">
        <v>731</v>
      </c>
      <c r="B16" s="36"/>
      <c r="C16" s="36"/>
      <c r="D16" s="139"/>
      <c r="E16" s="119" t="s">
        <v>4216</v>
      </c>
      <c r="F16" s="36"/>
      <c r="G16" s="36"/>
      <c r="H16" s="142"/>
    </row>
    <row r="17" s="126" customFormat="1" ht="20.1" customHeight="1" spans="1:8">
      <c r="A17" s="141" t="s">
        <v>737</v>
      </c>
      <c r="B17" s="36"/>
      <c r="C17" s="36"/>
      <c r="D17" s="139"/>
      <c r="E17" s="117" t="s">
        <v>4224</v>
      </c>
      <c r="F17" s="138">
        <f>SUM(F18:F20)</f>
        <v>0</v>
      </c>
      <c r="G17" s="138">
        <f>SUM(G18:G20)</f>
        <v>0</v>
      </c>
      <c r="H17" s="139"/>
    </row>
    <row r="18" s="126" customFormat="1" ht="20.1" customHeight="1" spans="1:8">
      <c r="A18" s="141" t="s">
        <v>739</v>
      </c>
      <c r="B18" s="36"/>
      <c r="C18" s="36"/>
      <c r="D18" s="139"/>
      <c r="E18" s="119" t="s">
        <v>4225</v>
      </c>
      <c r="F18" s="36"/>
      <c r="G18" s="36"/>
      <c r="H18" s="142"/>
    </row>
    <row r="19" s="126" customFormat="1" ht="20.1" customHeight="1" spans="1:8">
      <c r="A19" s="141" t="s">
        <v>741</v>
      </c>
      <c r="B19" s="36"/>
      <c r="C19" s="36"/>
      <c r="D19" s="139"/>
      <c r="E19" s="119" t="s">
        <v>4226</v>
      </c>
      <c r="F19" s="36"/>
      <c r="G19" s="36"/>
      <c r="H19" s="142"/>
    </row>
    <row r="20" s="126" customFormat="1" ht="20.1" customHeight="1" spans="1:8">
      <c r="A20" s="141" t="s">
        <v>743</v>
      </c>
      <c r="B20" s="36"/>
      <c r="C20" s="36"/>
      <c r="D20" s="139"/>
      <c r="E20" s="119" t="s">
        <v>4216</v>
      </c>
      <c r="F20" s="36"/>
      <c r="G20" s="36"/>
      <c r="H20" s="142"/>
    </row>
    <row r="21" s="126" customFormat="1" ht="20.1" customHeight="1" spans="1:8">
      <c r="A21" s="141" t="s">
        <v>749</v>
      </c>
      <c r="B21" s="36">
        <v>116</v>
      </c>
      <c r="C21" s="36">
        <v>700</v>
      </c>
      <c r="D21" s="139">
        <f>C21/B21</f>
        <v>6.0345</v>
      </c>
      <c r="E21" s="117" t="s">
        <v>4227</v>
      </c>
      <c r="F21" s="138">
        <f>SUM(F22:F32)</f>
        <v>14947</v>
      </c>
      <c r="G21" s="138">
        <f>SUM(G22:G32)</f>
        <v>20881</v>
      </c>
      <c r="H21" s="139">
        <f t="shared" ref="H21:H24" si="0">G21/F21</f>
        <v>1.397</v>
      </c>
    </row>
    <row r="22" s="126" customFormat="1" ht="20.1" customHeight="1" spans="1:8">
      <c r="A22" s="141" t="s">
        <v>751</v>
      </c>
      <c r="B22" s="36"/>
      <c r="C22" s="36"/>
      <c r="D22" s="139"/>
      <c r="E22" s="119" t="s">
        <v>4228</v>
      </c>
      <c r="F22" s="36">
        <v>5344</v>
      </c>
      <c r="G22" s="36">
        <v>17782</v>
      </c>
      <c r="H22" s="142">
        <f t="shared" si="0"/>
        <v>3.3275</v>
      </c>
    </row>
    <row r="23" s="92" customFormat="1" ht="20.1" customHeight="1" spans="1:8">
      <c r="A23" s="141" t="s">
        <v>753</v>
      </c>
      <c r="B23" s="36"/>
      <c r="C23" s="36"/>
      <c r="D23" s="139"/>
      <c r="E23" s="119" t="s">
        <v>4229</v>
      </c>
      <c r="F23" s="36"/>
      <c r="G23" s="36"/>
      <c r="H23" s="142"/>
    </row>
    <row r="24" s="92" customFormat="1" ht="20.1" customHeight="1" spans="1:8">
      <c r="A24" s="141" t="s">
        <v>759</v>
      </c>
      <c r="B24" s="36"/>
      <c r="C24" s="36"/>
      <c r="D24" s="139"/>
      <c r="E24" s="119" t="s">
        <v>4230</v>
      </c>
      <c r="F24" s="36">
        <v>7</v>
      </c>
      <c r="G24" s="36">
        <v>262</v>
      </c>
      <c r="H24" s="142">
        <f t="shared" si="0"/>
        <v>37.4286</v>
      </c>
    </row>
    <row r="25" s="92" customFormat="1" ht="20.1" customHeight="1" spans="1:8">
      <c r="A25" s="141" t="s">
        <v>761</v>
      </c>
      <c r="B25" s="36"/>
      <c r="C25" s="36"/>
      <c r="D25" s="139"/>
      <c r="E25" s="119" t="s">
        <v>4231</v>
      </c>
      <c r="F25" s="36"/>
      <c r="G25" s="36"/>
      <c r="H25" s="142"/>
    </row>
    <row r="26" s="92" customFormat="1" ht="20.1" customHeight="1" spans="1:8">
      <c r="A26" s="141" t="s">
        <v>763</v>
      </c>
      <c r="B26" s="36"/>
      <c r="C26" s="36"/>
      <c r="D26" s="139"/>
      <c r="E26" s="119" t="s">
        <v>4232</v>
      </c>
      <c r="F26" s="36">
        <v>350</v>
      </c>
      <c r="G26" s="36">
        <v>696</v>
      </c>
      <c r="H26" s="142">
        <f>G26/F26</f>
        <v>1.9886</v>
      </c>
    </row>
    <row r="27" s="92" customFormat="1" ht="20.1" customHeight="1" spans="1:8">
      <c r="A27" s="141" t="s">
        <v>765</v>
      </c>
      <c r="B27" s="36"/>
      <c r="C27" s="36"/>
      <c r="D27" s="139"/>
      <c r="E27" s="119" t="s">
        <v>4233</v>
      </c>
      <c r="F27" s="36"/>
      <c r="G27" s="36"/>
      <c r="H27" s="142"/>
    </row>
    <row r="28" s="92" customFormat="1" ht="20.1" customHeight="1" spans="1:8">
      <c r="A28" s="141" t="s">
        <v>767</v>
      </c>
      <c r="B28" s="36"/>
      <c r="C28" s="36"/>
      <c r="D28" s="139"/>
      <c r="E28" s="119" t="s">
        <v>4234</v>
      </c>
      <c r="F28" s="36"/>
      <c r="G28" s="36">
        <v>200</v>
      </c>
      <c r="H28" s="142"/>
    </row>
    <row r="29" s="92" customFormat="1" ht="20.1" customHeight="1" spans="1:8">
      <c r="A29" s="141" t="s">
        <v>773</v>
      </c>
      <c r="B29" s="36">
        <v>600</v>
      </c>
      <c r="C29" s="36">
        <v>600</v>
      </c>
      <c r="D29" s="139">
        <f>C29/B29</f>
        <v>1</v>
      </c>
      <c r="E29" s="119" t="s">
        <v>4235</v>
      </c>
      <c r="F29" s="36"/>
      <c r="G29" s="36"/>
      <c r="H29" s="142"/>
    </row>
    <row r="30" s="92" customFormat="1" ht="20.1" customHeight="1" spans="1:8">
      <c r="A30" s="141" t="s">
        <v>4200</v>
      </c>
      <c r="B30" s="36"/>
      <c r="C30" s="36"/>
      <c r="D30" s="139"/>
      <c r="E30" s="119" t="s">
        <v>4236</v>
      </c>
      <c r="F30" s="36"/>
      <c r="G30" s="36"/>
      <c r="H30" s="142"/>
    </row>
    <row r="31" s="92" customFormat="1" ht="20.1" customHeight="1" spans="1:8">
      <c r="A31" s="141" t="s">
        <v>791</v>
      </c>
      <c r="B31" s="36"/>
      <c r="C31" s="36"/>
      <c r="D31" s="139"/>
      <c r="E31" s="119" t="s">
        <v>4237</v>
      </c>
      <c r="F31" s="36">
        <v>9246</v>
      </c>
      <c r="G31" s="36">
        <v>1941</v>
      </c>
      <c r="H31" s="142">
        <f t="shared" ref="H31:H34" si="1">G31/F31</f>
        <v>0.2099</v>
      </c>
    </row>
    <row r="32" s="92" customFormat="1" ht="20.1" customHeight="1" spans="1:8">
      <c r="A32" s="141" t="s">
        <v>4201</v>
      </c>
      <c r="B32" s="36"/>
      <c r="C32" s="36"/>
      <c r="D32" s="139"/>
      <c r="E32" s="119" t="s">
        <v>4216</v>
      </c>
      <c r="F32" s="36"/>
      <c r="G32" s="36"/>
      <c r="H32" s="142"/>
    </row>
    <row r="33" s="92" customFormat="1" ht="20.1" customHeight="1" spans="1:8">
      <c r="A33" s="141" t="s">
        <v>4202</v>
      </c>
      <c r="B33" s="36"/>
      <c r="C33" s="36"/>
      <c r="D33" s="139"/>
      <c r="E33" s="117" t="s">
        <v>4238</v>
      </c>
      <c r="F33" s="138">
        <f>SUM(F34:F42)</f>
        <v>972</v>
      </c>
      <c r="G33" s="138">
        <f>SUM(G34:G42)</f>
        <v>8271</v>
      </c>
      <c r="H33" s="139">
        <f t="shared" si="1"/>
        <v>8.5093</v>
      </c>
    </row>
    <row r="34" s="92" customFormat="1" ht="20.1" customHeight="1" spans="1:8">
      <c r="A34" s="141" t="s">
        <v>793</v>
      </c>
      <c r="B34" s="36"/>
      <c r="C34" s="36"/>
      <c r="D34" s="139"/>
      <c r="E34" s="119" t="s">
        <v>4239</v>
      </c>
      <c r="F34" s="36">
        <v>121</v>
      </c>
      <c r="G34" s="36">
        <v>1091</v>
      </c>
      <c r="H34" s="142">
        <f t="shared" si="1"/>
        <v>9.0165</v>
      </c>
    </row>
    <row r="35" s="92" customFormat="1" ht="19.9" customHeight="1" spans="1:8">
      <c r="A35" s="137" t="s">
        <v>795</v>
      </c>
      <c r="B35" s="138">
        <f>SUM(B36:B46)</f>
        <v>148</v>
      </c>
      <c r="C35" s="138">
        <f>SUM(C36:C46)</f>
        <v>0</v>
      </c>
      <c r="D35" s="139">
        <f>C35/B35</f>
        <v>0</v>
      </c>
      <c r="E35" s="119" t="s">
        <v>4240</v>
      </c>
      <c r="F35" s="36"/>
      <c r="G35" s="36"/>
      <c r="H35" s="142"/>
    </row>
    <row r="36" s="92" customFormat="1" ht="20.1" customHeight="1" spans="1:8">
      <c r="A36" s="141" t="s">
        <v>4203</v>
      </c>
      <c r="B36" s="36"/>
      <c r="C36" s="36"/>
      <c r="D36" s="139"/>
      <c r="E36" s="119" t="s">
        <v>4241</v>
      </c>
      <c r="F36" s="36">
        <v>7</v>
      </c>
      <c r="G36" s="36">
        <v>234</v>
      </c>
      <c r="H36" s="142">
        <f t="shared" ref="H36:H40" si="2">G36/F36</f>
        <v>33.4286</v>
      </c>
    </row>
    <row r="37" s="93" customFormat="1" ht="20.1" customHeight="1" spans="1:8">
      <c r="A37" s="141" t="s">
        <v>4204</v>
      </c>
      <c r="B37" s="36"/>
      <c r="C37" s="36"/>
      <c r="D37" s="139"/>
      <c r="E37" s="119" t="s">
        <v>4242</v>
      </c>
      <c r="F37" s="36"/>
      <c r="G37" s="36"/>
      <c r="H37" s="142"/>
    </row>
    <row r="38" s="92" customFormat="1" ht="20.1" customHeight="1" spans="1:8">
      <c r="A38" s="141" t="s">
        <v>4205</v>
      </c>
      <c r="B38" s="36"/>
      <c r="C38" s="36"/>
      <c r="D38" s="139"/>
      <c r="E38" s="121" t="s">
        <v>4243</v>
      </c>
      <c r="F38" s="36"/>
      <c r="G38" s="36"/>
      <c r="H38" s="142"/>
    </row>
    <row r="39" s="92" customFormat="1" ht="20.1" customHeight="1" spans="1:8">
      <c r="A39" s="141" t="s">
        <v>4206</v>
      </c>
      <c r="B39" s="36"/>
      <c r="C39" s="36"/>
      <c r="D39" s="139"/>
      <c r="E39" s="121" t="s">
        <v>4244</v>
      </c>
      <c r="F39" s="36">
        <v>842</v>
      </c>
      <c r="G39" s="36">
        <v>6691</v>
      </c>
      <c r="H39" s="142">
        <f t="shared" si="2"/>
        <v>7.9466</v>
      </c>
    </row>
    <row r="40" s="92" customFormat="1" ht="20.1" customHeight="1" spans="1:8">
      <c r="A40" s="141" t="s">
        <v>4207</v>
      </c>
      <c r="B40" s="36"/>
      <c r="C40" s="36"/>
      <c r="D40" s="139"/>
      <c r="E40" s="121" t="s">
        <v>4245</v>
      </c>
      <c r="F40" s="36">
        <v>2</v>
      </c>
      <c r="G40" s="36">
        <v>255</v>
      </c>
      <c r="H40" s="142">
        <f t="shared" si="2"/>
        <v>127.5</v>
      </c>
    </row>
    <row r="41" s="92" customFormat="1" ht="20.1" customHeight="1" spans="1:8">
      <c r="A41" s="141" t="s">
        <v>4208</v>
      </c>
      <c r="B41" s="36"/>
      <c r="C41" s="36"/>
      <c r="D41" s="139"/>
      <c r="E41" s="121" t="s">
        <v>4246</v>
      </c>
      <c r="F41" s="36"/>
      <c r="G41" s="36"/>
      <c r="H41" s="142"/>
    </row>
    <row r="42" s="92" customFormat="1" ht="20.1" customHeight="1" spans="1:8">
      <c r="A42" s="141" t="s">
        <v>4209</v>
      </c>
      <c r="B42" s="36"/>
      <c r="C42" s="36"/>
      <c r="D42" s="139"/>
      <c r="E42" s="121" t="s">
        <v>4216</v>
      </c>
      <c r="F42" s="36"/>
      <c r="G42" s="36"/>
      <c r="H42" s="142"/>
    </row>
    <row r="43" s="92" customFormat="1" ht="20.1" customHeight="1" spans="1:8">
      <c r="A43" s="141" t="s">
        <v>4210</v>
      </c>
      <c r="B43" s="36"/>
      <c r="C43" s="36"/>
      <c r="D43" s="139"/>
      <c r="E43" s="117" t="s">
        <v>4247</v>
      </c>
      <c r="F43" s="138">
        <f>SUM(F44:F52)</f>
        <v>0</v>
      </c>
      <c r="G43" s="138">
        <f>SUM(G44:G52)</f>
        <v>0</v>
      </c>
      <c r="H43" s="139"/>
    </row>
    <row r="44" s="92" customFormat="1" ht="20.1" customHeight="1" spans="1:8">
      <c r="A44" s="141" t="s">
        <v>4211</v>
      </c>
      <c r="B44" s="36"/>
      <c r="C44" s="36"/>
      <c r="D44" s="139"/>
      <c r="E44" s="119" t="s">
        <v>4248</v>
      </c>
      <c r="F44" s="36"/>
      <c r="G44" s="36"/>
      <c r="H44" s="142"/>
    </row>
    <row r="45" s="92" customFormat="1" ht="20.1" customHeight="1" spans="1:8">
      <c r="A45" s="141" t="s">
        <v>4212</v>
      </c>
      <c r="B45" s="36"/>
      <c r="C45" s="36"/>
      <c r="D45" s="139"/>
      <c r="E45" s="119" t="s">
        <v>4249</v>
      </c>
      <c r="F45" s="36"/>
      <c r="G45" s="36"/>
      <c r="H45" s="142"/>
    </row>
    <row r="46" s="92" customFormat="1" ht="20.1" customHeight="1" spans="1:8">
      <c r="A46" s="141" t="s">
        <v>4213</v>
      </c>
      <c r="B46" s="36">
        <v>148</v>
      </c>
      <c r="C46" s="36"/>
      <c r="D46" s="139">
        <f>C46/B46</f>
        <v>0</v>
      </c>
      <c r="E46" s="119" t="s">
        <v>4250</v>
      </c>
      <c r="F46" s="36"/>
      <c r="G46" s="36"/>
      <c r="H46" s="142"/>
    </row>
    <row r="47" s="92" customFormat="1" ht="20.1" customHeight="1" spans="1:8">
      <c r="A47" s="143"/>
      <c r="B47" s="36"/>
      <c r="C47" s="36"/>
      <c r="D47" s="142"/>
      <c r="E47" s="119" t="s">
        <v>4251</v>
      </c>
      <c r="F47" s="36"/>
      <c r="G47" s="36"/>
      <c r="H47" s="142"/>
    </row>
    <row r="48" s="92" customFormat="1" ht="20.1" customHeight="1" spans="1:8">
      <c r="A48" s="143"/>
      <c r="B48" s="36"/>
      <c r="C48" s="36"/>
      <c r="D48" s="142"/>
      <c r="E48" s="119" t="s">
        <v>4252</v>
      </c>
      <c r="F48" s="36"/>
      <c r="G48" s="36"/>
      <c r="H48" s="142"/>
    </row>
    <row r="49" s="92" customFormat="1" ht="20.1" customHeight="1" spans="1:8">
      <c r="A49" s="143"/>
      <c r="B49" s="36"/>
      <c r="C49" s="36"/>
      <c r="D49" s="142"/>
      <c r="E49" s="119" t="s">
        <v>4253</v>
      </c>
      <c r="F49" s="36"/>
      <c r="G49" s="36"/>
      <c r="H49" s="142"/>
    </row>
    <row r="50" s="92" customFormat="1" ht="20.1" customHeight="1" spans="1:8">
      <c r="A50" s="143"/>
      <c r="B50" s="36"/>
      <c r="C50" s="36"/>
      <c r="D50" s="142"/>
      <c r="E50" s="119" t="s">
        <v>4254</v>
      </c>
      <c r="F50" s="36"/>
      <c r="G50" s="36"/>
      <c r="H50" s="142"/>
    </row>
    <row r="51" s="92" customFormat="1" ht="20.1" customHeight="1" spans="1:8">
      <c r="A51" s="143"/>
      <c r="B51" s="36"/>
      <c r="C51" s="36"/>
      <c r="D51" s="142"/>
      <c r="E51" s="119" t="s">
        <v>4255</v>
      </c>
      <c r="F51" s="36"/>
      <c r="G51" s="36"/>
      <c r="H51" s="142"/>
    </row>
    <row r="52" s="92" customFormat="1" ht="20.1" customHeight="1" spans="1:8">
      <c r="A52" s="143"/>
      <c r="B52" s="36"/>
      <c r="C52" s="36"/>
      <c r="D52" s="142"/>
      <c r="E52" s="119" t="s">
        <v>4216</v>
      </c>
      <c r="F52" s="36"/>
      <c r="G52" s="36"/>
      <c r="H52" s="142"/>
    </row>
    <row r="53" s="92" customFormat="1" ht="20.1" customHeight="1" spans="1:8">
      <c r="A53" s="143"/>
      <c r="B53" s="36"/>
      <c r="C53" s="36"/>
      <c r="D53" s="142"/>
      <c r="E53" s="117" t="s">
        <v>4256</v>
      </c>
      <c r="F53" s="138">
        <f>SUM(F54:F55)</f>
        <v>137</v>
      </c>
      <c r="G53" s="138">
        <f>SUM(G54:G55)</f>
        <v>420</v>
      </c>
      <c r="H53" s="139">
        <f>G53/F53</f>
        <v>3.0657</v>
      </c>
    </row>
    <row r="54" s="92" customFormat="1" ht="20.1" customHeight="1" spans="1:8">
      <c r="A54" s="143"/>
      <c r="B54" s="36"/>
      <c r="C54" s="36"/>
      <c r="D54" s="142"/>
      <c r="E54" s="119" t="s">
        <v>4257</v>
      </c>
      <c r="F54" s="36"/>
      <c r="G54" s="36"/>
      <c r="H54" s="142"/>
    </row>
    <row r="55" s="92" customFormat="1" ht="20.1" customHeight="1" spans="1:8">
      <c r="A55" s="143"/>
      <c r="B55" s="36"/>
      <c r="C55" s="36"/>
      <c r="D55" s="142"/>
      <c r="E55" s="119" t="s">
        <v>4216</v>
      </c>
      <c r="F55" s="36">
        <v>137</v>
      </c>
      <c r="G55" s="36">
        <v>420</v>
      </c>
      <c r="H55" s="142">
        <f>G55/F55</f>
        <v>3.0657</v>
      </c>
    </row>
    <row r="56" s="92" customFormat="1" ht="20.1" customHeight="1" spans="1:8">
      <c r="A56" s="143"/>
      <c r="B56" s="36"/>
      <c r="C56" s="36"/>
      <c r="D56" s="142"/>
      <c r="E56" s="117" t="s">
        <v>4258</v>
      </c>
      <c r="F56" s="138">
        <f t="shared" ref="F56:F60" si="3">SUM(F57)</f>
        <v>0</v>
      </c>
      <c r="G56" s="138">
        <f t="shared" ref="G56:G60" si="4">SUM(G57)</f>
        <v>0</v>
      </c>
      <c r="H56" s="139"/>
    </row>
    <row r="57" s="92" customFormat="1" ht="20.1" customHeight="1" spans="1:8">
      <c r="A57" s="143"/>
      <c r="B57" s="36"/>
      <c r="C57" s="36"/>
      <c r="D57" s="142"/>
      <c r="E57" s="119" t="s">
        <v>4259</v>
      </c>
      <c r="F57" s="36"/>
      <c r="G57" s="36"/>
      <c r="H57" s="142"/>
    </row>
    <row r="58" s="92" customFormat="1" ht="20.1" customHeight="1" spans="1:8">
      <c r="A58" s="143"/>
      <c r="B58" s="36"/>
      <c r="C58" s="36"/>
      <c r="D58" s="142"/>
      <c r="E58" s="117" t="s">
        <v>4260</v>
      </c>
      <c r="F58" s="138">
        <f t="shared" si="3"/>
        <v>0</v>
      </c>
      <c r="G58" s="138">
        <f t="shared" si="4"/>
        <v>50</v>
      </c>
      <c r="H58" s="139"/>
    </row>
    <row r="59" s="92" customFormat="1" ht="20.1" customHeight="1" spans="1:8">
      <c r="A59" s="143"/>
      <c r="B59" s="36"/>
      <c r="C59" s="36"/>
      <c r="D59" s="142"/>
      <c r="E59" s="119" t="s">
        <v>4261</v>
      </c>
      <c r="F59" s="36"/>
      <c r="G59" s="36">
        <v>50</v>
      </c>
      <c r="H59" s="142"/>
    </row>
    <row r="60" s="92" customFormat="1" ht="20.1" customHeight="1" spans="1:8">
      <c r="A60" s="143"/>
      <c r="B60" s="36"/>
      <c r="C60" s="36"/>
      <c r="D60" s="142"/>
      <c r="E60" s="117" t="s">
        <v>4262</v>
      </c>
      <c r="F60" s="138">
        <f t="shared" si="3"/>
        <v>0</v>
      </c>
      <c r="G60" s="138">
        <f t="shared" si="4"/>
        <v>0</v>
      </c>
      <c r="H60" s="139"/>
    </row>
    <row r="61" s="92" customFormat="1" ht="20.1" customHeight="1" spans="1:8">
      <c r="A61" s="143"/>
      <c r="B61" s="36"/>
      <c r="C61" s="36"/>
      <c r="D61" s="142"/>
      <c r="E61" s="119" t="s">
        <v>4216</v>
      </c>
      <c r="F61" s="36"/>
      <c r="G61" s="36"/>
      <c r="H61" s="142"/>
    </row>
    <row r="62" s="92" customFormat="1" ht="20.1" customHeight="1" spans="1:8">
      <c r="A62" s="143"/>
      <c r="B62" s="36"/>
      <c r="C62" s="36"/>
      <c r="D62" s="142"/>
      <c r="E62" s="117" t="s">
        <v>4263</v>
      </c>
      <c r="F62" s="138">
        <f>SUM(F63)</f>
        <v>0</v>
      </c>
      <c r="G62" s="138">
        <f>SUM(G63)</f>
        <v>0</v>
      </c>
      <c r="H62" s="139"/>
    </row>
    <row r="63" s="92" customFormat="1" ht="20.1" customHeight="1" spans="1:8">
      <c r="A63" s="143"/>
      <c r="B63" s="36"/>
      <c r="C63" s="36"/>
      <c r="D63" s="142"/>
      <c r="E63" s="119" t="s">
        <v>4216</v>
      </c>
      <c r="F63" s="36"/>
      <c r="G63" s="36"/>
      <c r="H63" s="142"/>
    </row>
    <row r="64" s="92" customFormat="1" ht="20.1" customHeight="1" spans="1:8">
      <c r="A64" s="143"/>
      <c r="B64" s="36"/>
      <c r="C64" s="36"/>
      <c r="D64" s="142"/>
      <c r="E64" s="117" t="s">
        <v>4264</v>
      </c>
      <c r="F64" s="138">
        <f>SUM(F65)</f>
        <v>0</v>
      </c>
      <c r="G64" s="138">
        <f>SUM(G65)</f>
        <v>0</v>
      </c>
      <c r="H64" s="139"/>
    </row>
    <row r="65" s="92" customFormat="1" ht="20.1" customHeight="1" spans="1:8">
      <c r="A65" s="143"/>
      <c r="B65" s="36"/>
      <c r="C65" s="36"/>
      <c r="D65" s="142"/>
      <c r="E65" s="119" t="s">
        <v>4216</v>
      </c>
      <c r="F65" s="36"/>
      <c r="G65" s="36"/>
      <c r="H65" s="142"/>
    </row>
    <row r="66" s="92" customFormat="1" ht="20.1" customHeight="1" spans="1:8">
      <c r="A66" s="143"/>
      <c r="B66" s="36"/>
      <c r="C66" s="36"/>
      <c r="D66" s="142"/>
      <c r="E66" s="117" t="s">
        <v>4265</v>
      </c>
      <c r="F66" s="138">
        <f>SUM(F67:F72)</f>
        <v>1615</v>
      </c>
      <c r="G66" s="138">
        <f>SUM(G67:G72)</f>
        <v>1891</v>
      </c>
      <c r="H66" s="139">
        <f t="shared" ref="H66:H71" si="5">G66/F66</f>
        <v>1.1709</v>
      </c>
    </row>
    <row r="67" s="92" customFormat="1" ht="20.1" customHeight="1" spans="1:8">
      <c r="A67" s="143"/>
      <c r="B67" s="36"/>
      <c r="C67" s="36"/>
      <c r="D67" s="142"/>
      <c r="E67" s="119" t="s">
        <v>4266</v>
      </c>
      <c r="F67" s="36">
        <v>1100</v>
      </c>
      <c r="G67" s="36">
        <v>565</v>
      </c>
      <c r="H67" s="142">
        <f t="shared" si="5"/>
        <v>0.5136</v>
      </c>
    </row>
    <row r="68" s="92" customFormat="1" ht="20.1" customHeight="1" spans="1:8">
      <c r="A68" s="143"/>
      <c r="B68" s="36"/>
      <c r="C68" s="36"/>
      <c r="D68" s="142"/>
      <c r="E68" s="119" t="s">
        <v>4267</v>
      </c>
      <c r="F68" s="36"/>
      <c r="G68" s="36"/>
      <c r="H68" s="142"/>
    </row>
    <row r="69" s="92" customFormat="1" ht="20.1" customHeight="1" spans="1:8">
      <c r="A69" s="143"/>
      <c r="B69" s="36"/>
      <c r="C69" s="36"/>
      <c r="D69" s="142"/>
      <c r="E69" s="119" t="s">
        <v>4268</v>
      </c>
      <c r="F69" s="36"/>
      <c r="G69" s="36"/>
      <c r="H69" s="142"/>
    </row>
    <row r="70" s="92" customFormat="1" ht="20.1" customHeight="1" spans="1:8">
      <c r="A70" s="143"/>
      <c r="B70" s="36"/>
      <c r="C70" s="36"/>
      <c r="D70" s="142"/>
      <c r="E70" s="119" t="s">
        <v>4269</v>
      </c>
      <c r="F70" s="36"/>
      <c r="G70" s="36"/>
      <c r="H70" s="142"/>
    </row>
    <row r="71" s="92" customFormat="1" ht="20.1" customHeight="1" spans="1:8">
      <c r="A71" s="143"/>
      <c r="B71" s="36"/>
      <c r="C71" s="36"/>
      <c r="D71" s="142"/>
      <c r="E71" s="119" t="s">
        <v>4270</v>
      </c>
      <c r="F71" s="36">
        <v>515</v>
      </c>
      <c r="G71" s="36">
        <v>1326</v>
      </c>
      <c r="H71" s="142">
        <f t="shared" si="5"/>
        <v>2.5748</v>
      </c>
    </row>
    <row r="72" s="92" customFormat="1" ht="20.1" customHeight="1" spans="1:8">
      <c r="A72" s="143"/>
      <c r="B72" s="36"/>
      <c r="C72" s="36"/>
      <c r="D72" s="142"/>
      <c r="E72" s="119" t="s">
        <v>4271</v>
      </c>
      <c r="F72" s="36"/>
      <c r="G72" s="36"/>
      <c r="H72" s="142"/>
    </row>
    <row r="73" s="92" customFormat="1" ht="20.1" customHeight="1" spans="1:8">
      <c r="A73" s="143"/>
      <c r="B73" s="36"/>
      <c r="C73" s="36"/>
      <c r="D73" s="142"/>
      <c r="E73" s="117" t="s">
        <v>4272</v>
      </c>
      <c r="F73" s="138">
        <f>SUM(F74)</f>
        <v>939</v>
      </c>
      <c r="G73" s="138">
        <f>SUM(G74)</f>
        <v>1973</v>
      </c>
      <c r="H73" s="139">
        <f t="shared" ref="H73:H76" si="6">G73/F73</f>
        <v>2.1012</v>
      </c>
    </row>
    <row r="74" s="92" customFormat="1" ht="20.1" customHeight="1" spans="1:8">
      <c r="A74" s="143"/>
      <c r="B74" s="36"/>
      <c r="C74" s="36"/>
      <c r="D74" s="142"/>
      <c r="E74" s="119" t="s">
        <v>4273</v>
      </c>
      <c r="F74" s="36">
        <v>939</v>
      </c>
      <c r="G74" s="36">
        <v>1973</v>
      </c>
      <c r="H74" s="142">
        <f t="shared" si="6"/>
        <v>2.1012</v>
      </c>
    </row>
    <row r="75" s="92" customFormat="1" ht="20.1" customHeight="1" spans="1:8">
      <c r="A75" s="143"/>
      <c r="B75" s="36"/>
      <c r="C75" s="36"/>
      <c r="D75" s="142"/>
      <c r="E75" s="117" t="s">
        <v>4274</v>
      </c>
      <c r="F75" s="138">
        <f>SUM(F76)</f>
        <v>19</v>
      </c>
      <c r="G75" s="138">
        <f>SUM(G76)</f>
        <v>0</v>
      </c>
      <c r="H75" s="139">
        <f t="shared" si="6"/>
        <v>0</v>
      </c>
    </row>
    <row r="76" s="92" customFormat="1" ht="20.1" customHeight="1" spans="1:8">
      <c r="A76" s="143"/>
      <c r="B76" s="36"/>
      <c r="C76" s="36"/>
      <c r="D76" s="142"/>
      <c r="E76" s="119" t="s">
        <v>4275</v>
      </c>
      <c r="F76" s="36">
        <v>19</v>
      </c>
      <c r="G76" s="36"/>
      <c r="H76" s="142">
        <f t="shared" si="6"/>
        <v>0</v>
      </c>
    </row>
    <row r="77" s="92" customFormat="1" ht="20.1" customHeight="1" spans="1:8">
      <c r="A77" s="143"/>
      <c r="B77" s="36"/>
      <c r="C77" s="36"/>
      <c r="D77" s="142"/>
      <c r="E77" s="117" t="s">
        <v>4276</v>
      </c>
      <c r="F77" s="138">
        <f>SUM(F78:F79)</f>
        <v>0</v>
      </c>
      <c r="G77" s="138">
        <f>SUM(G78:G79)</f>
        <v>0</v>
      </c>
      <c r="H77" s="139"/>
    </row>
    <row r="78" s="92" customFormat="1" ht="20.1" customHeight="1" spans="1:8">
      <c r="A78" s="143"/>
      <c r="B78" s="36"/>
      <c r="C78" s="36"/>
      <c r="D78" s="142"/>
      <c r="E78" s="119" t="s">
        <v>4277</v>
      </c>
      <c r="F78" s="36"/>
      <c r="G78" s="36"/>
      <c r="H78" s="142"/>
    </row>
    <row r="79" s="92" customFormat="1" ht="20.1" customHeight="1" spans="1:8">
      <c r="A79" s="143"/>
      <c r="B79" s="36"/>
      <c r="C79" s="36"/>
      <c r="D79" s="142"/>
      <c r="E79" s="119" t="s">
        <v>4278</v>
      </c>
      <c r="F79" s="36"/>
      <c r="G79" s="36"/>
      <c r="H79" s="142"/>
    </row>
    <row r="80" s="92" customFormat="1" ht="20.1" customHeight="1" spans="1:8">
      <c r="A80" s="143"/>
      <c r="B80" s="36"/>
      <c r="C80" s="36"/>
      <c r="D80" s="142"/>
      <c r="E80" s="122"/>
      <c r="F80" s="36"/>
      <c r="G80" s="36"/>
      <c r="H80" s="142"/>
    </row>
    <row r="81" s="92" customFormat="1" ht="20.1" customHeight="1" spans="1:8">
      <c r="A81" s="143"/>
      <c r="B81" s="36"/>
      <c r="C81" s="36"/>
      <c r="D81" s="142"/>
      <c r="E81" s="122"/>
      <c r="F81" s="36"/>
      <c r="G81" s="36"/>
      <c r="H81" s="142"/>
    </row>
    <row r="82" s="93" customFormat="1" ht="20.1" customHeight="1" spans="1:8">
      <c r="A82" s="123" t="s">
        <v>81</v>
      </c>
      <c r="B82" s="124">
        <f>B35+B5</f>
        <v>5596</v>
      </c>
      <c r="C82" s="124">
        <f>C35+C5</f>
        <v>23600</v>
      </c>
      <c r="D82" s="144">
        <f t="shared" ref="D82:D96" si="7">C82/B82</f>
        <v>4.2173</v>
      </c>
      <c r="E82" s="123" t="s">
        <v>433</v>
      </c>
      <c r="F82" s="124">
        <f>F5+F7+F10+F15+F17+F21+F33+F43+F53+F56+F58+F60+F62+F64+F66+F73+F75+F77</f>
        <v>18634</v>
      </c>
      <c r="G82" s="124">
        <f>G5+G7+G10+G15+G17+G21+G33+G43+G53+G56+G58+G60+G62+G64+G66+G73+G75+G77</f>
        <v>33495</v>
      </c>
      <c r="H82" s="144">
        <f>G82/F82</f>
        <v>1.7975</v>
      </c>
    </row>
    <row r="83" s="92" customFormat="1" ht="20.1" customHeight="1" spans="1:8">
      <c r="A83" s="145" t="s">
        <v>4285</v>
      </c>
      <c r="B83" s="138">
        <f>SUM(B84:B86)</f>
        <v>0</v>
      </c>
      <c r="C83" s="138">
        <f>SUM(C84:C86)</f>
        <v>0</v>
      </c>
      <c r="D83" s="139" t="e">
        <f t="shared" si="7"/>
        <v>#DIV/0!</v>
      </c>
      <c r="E83" s="117" t="s">
        <v>95</v>
      </c>
      <c r="F83" s="138">
        <f>SUM(F84:F89)</f>
        <v>20236</v>
      </c>
      <c r="G83" s="138">
        <f>SUM(G84:G89)</f>
        <v>11463</v>
      </c>
      <c r="H83" s="139">
        <f>G83/F83</f>
        <v>0.5665</v>
      </c>
    </row>
    <row r="84" s="92" customFormat="1" ht="20.1" customHeight="1" spans="1:8">
      <c r="A84" s="121" t="s">
        <v>4286</v>
      </c>
      <c r="B84" s="36"/>
      <c r="C84" s="36"/>
      <c r="D84" s="142" t="e">
        <f t="shared" si="7"/>
        <v>#DIV/0!</v>
      </c>
      <c r="E84" s="121" t="s">
        <v>4279</v>
      </c>
      <c r="F84" s="36"/>
      <c r="G84" s="36"/>
      <c r="H84" s="142"/>
    </row>
    <row r="85" s="92" customFormat="1" ht="20.1" customHeight="1" spans="1:8">
      <c r="A85" s="121" t="s">
        <v>4287</v>
      </c>
      <c r="B85" s="36"/>
      <c r="C85" s="36"/>
      <c r="D85" s="142" t="e">
        <f t="shared" si="7"/>
        <v>#DIV/0!</v>
      </c>
      <c r="E85" s="121" t="s">
        <v>4280</v>
      </c>
      <c r="F85" s="36"/>
      <c r="G85" s="36"/>
      <c r="H85" s="142"/>
    </row>
    <row r="86" s="92" customFormat="1" ht="20.1" customHeight="1" spans="1:8">
      <c r="A86" s="121" t="s">
        <v>4287</v>
      </c>
      <c r="B86" s="36"/>
      <c r="C86" s="36"/>
      <c r="D86" s="142" t="e">
        <f t="shared" si="7"/>
        <v>#DIV/0!</v>
      </c>
      <c r="E86" s="121" t="s">
        <v>191</v>
      </c>
      <c r="F86" s="36"/>
      <c r="G86" s="36">
        <v>11463</v>
      </c>
      <c r="H86" s="142"/>
    </row>
    <row r="87" s="92" customFormat="1" ht="20.1" customHeight="1" spans="1:8">
      <c r="A87" s="145" t="s">
        <v>94</v>
      </c>
      <c r="B87" s="138">
        <f>SUM(B88:B94)</f>
        <v>41697</v>
      </c>
      <c r="C87" s="138">
        <f>SUM(C88:C94)</f>
        <v>21358</v>
      </c>
      <c r="D87" s="139">
        <f t="shared" si="7"/>
        <v>0.5122</v>
      </c>
      <c r="E87" s="121" t="s">
        <v>210</v>
      </c>
      <c r="F87" s="36">
        <v>20236</v>
      </c>
      <c r="G87" s="36"/>
      <c r="H87" s="142"/>
    </row>
    <row r="88" s="92" customFormat="1" ht="20.1" customHeight="1" spans="1:8">
      <c r="A88" s="119" t="s">
        <v>4288</v>
      </c>
      <c r="B88" s="36">
        <v>2529</v>
      </c>
      <c r="C88" s="36">
        <v>1122</v>
      </c>
      <c r="D88" s="142">
        <f t="shared" si="7"/>
        <v>0.4437</v>
      </c>
      <c r="E88" s="121" t="s">
        <v>4281</v>
      </c>
      <c r="F88" s="36"/>
      <c r="G88" s="36"/>
      <c r="H88" s="142"/>
    </row>
    <row r="89" s="92" customFormat="1" ht="20.1" customHeight="1" spans="1:8">
      <c r="A89" s="119" t="s">
        <v>4289</v>
      </c>
      <c r="B89" s="36"/>
      <c r="C89" s="36"/>
      <c r="D89" s="142" t="e">
        <f t="shared" si="7"/>
        <v>#DIV/0!</v>
      </c>
      <c r="E89" s="121" t="s">
        <v>4282</v>
      </c>
      <c r="F89" s="36"/>
      <c r="G89" s="36"/>
      <c r="H89" s="142"/>
    </row>
    <row r="90" s="92" customFormat="1" ht="20.1" customHeight="1" spans="1:8">
      <c r="A90" s="119" t="s">
        <v>209</v>
      </c>
      <c r="B90" s="36">
        <v>20219</v>
      </c>
      <c r="C90" s="36">
        <v>20236</v>
      </c>
      <c r="D90" s="142">
        <f t="shared" si="7"/>
        <v>1.0008</v>
      </c>
      <c r="E90" s="117" t="s">
        <v>955</v>
      </c>
      <c r="F90" s="138">
        <f>SUM(F91:F93)</f>
        <v>8423</v>
      </c>
      <c r="G90" s="138">
        <f>SUM(G91:G93)</f>
        <v>0</v>
      </c>
      <c r="H90" s="139">
        <f>G90/F90</f>
        <v>0</v>
      </c>
    </row>
    <row r="91" s="92" customFormat="1" ht="20.1" customHeight="1" spans="1:8">
      <c r="A91" s="119" t="s">
        <v>4290</v>
      </c>
      <c r="B91" s="36"/>
      <c r="C91" s="36"/>
      <c r="D91" s="142" t="e">
        <f t="shared" si="7"/>
        <v>#DIV/0!</v>
      </c>
      <c r="E91" s="119" t="s">
        <v>956</v>
      </c>
      <c r="F91" s="36">
        <v>8423</v>
      </c>
      <c r="G91" s="36"/>
      <c r="H91" s="142">
        <f>G91/F91</f>
        <v>0</v>
      </c>
    </row>
    <row r="92" s="92" customFormat="1" ht="20.1" customHeight="1" spans="1:8">
      <c r="A92" s="146" t="s">
        <v>4291</v>
      </c>
      <c r="B92" s="36">
        <v>18949</v>
      </c>
      <c r="C92" s="36"/>
      <c r="D92" s="142">
        <f t="shared" si="7"/>
        <v>0</v>
      </c>
      <c r="E92" s="119" t="s">
        <v>957</v>
      </c>
      <c r="F92" s="36"/>
      <c r="G92" s="36"/>
      <c r="H92" s="142"/>
    </row>
    <row r="93" s="92" customFormat="1" ht="20.1" customHeight="1" spans="1:8">
      <c r="A93" s="146" t="s">
        <v>4292</v>
      </c>
      <c r="B93" s="36"/>
      <c r="C93" s="36"/>
      <c r="D93" s="142" t="e">
        <f t="shared" si="7"/>
        <v>#DIV/0!</v>
      </c>
      <c r="E93" s="119" t="s">
        <v>4283</v>
      </c>
      <c r="F93" s="36"/>
      <c r="G93" s="36"/>
      <c r="H93" s="142"/>
    </row>
    <row r="94" s="92" customFormat="1" ht="20.1" customHeight="1" spans="1:8">
      <c r="A94" s="146" t="s">
        <v>4292</v>
      </c>
      <c r="B94" s="36"/>
      <c r="C94" s="36"/>
      <c r="D94" s="142" t="e">
        <f t="shared" si="7"/>
        <v>#DIV/0!</v>
      </c>
      <c r="E94" s="36"/>
      <c r="F94" s="36"/>
      <c r="G94" s="36"/>
      <c r="H94" s="142"/>
    </row>
    <row r="95" s="92" customFormat="1" ht="20.1" customHeight="1" spans="1:8">
      <c r="A95" s="36"/>
      <c r="B95" s="36"/>
      <c r="C95" s="36"/>
      <c r="D95" s="142" t="e">
        <f t="shared" si="7"/>
        <v>#DIV/0!</v>
      </c>
      <c r="E95" s="36"/>
      <c r="F95" s="36"/>
      <c r="G95" s="36"/>
      <c r="H95" s="142"/>
    </row>
    <row r="96" s="92" customFormat="1" ht="20.1" customHeight="1" spans="1:8">
      <c r="A96" s="123" t="s">
        <v>214</v>
      </c>
      <c r="B96" s="36">
        <f>B82+B83+B87</f>
        <v>47293</v>
      </c>
      <c r="C96" s="36">
        <f>C82+C83+C87</f>
        <v>44958</v>
      </c>
      <c r="D96" s="142">
        <f t="shared" si="7"/>
        <v>0.9506</v>
      </c>
      <c r="E96" s="123" t="s">
        <v>215</v>
      </c>
      <c r="F96" s="36">
        <f>F82+F83+F90</f>
        <v>47293</v>
      </c>
      <c r="G96" s="36">
        <f>G82+G83+G90</f>
        <v>44958</v>
      </c>
      <c r="H96" s="142">
        <f>G96/F96</f>
        <v>0.9506</v>
      </c>
    </row>
    <row r="97" s="125" customFormat="1" ht="20.1" customHeight="1" spans="8:8">
      <c r="H97" s="127"/>
    </row>
    <row r="98" s="125" customFormat="1" ht="20.1" customHeight="1" spans="8:8">
      <c r="H98" s="127"/>
    </row>
    <row r="99" s="125" customFormat="1" ht="20.1" customHeight="1" spans="8:8">
      <c r="H99" s="127"/>
    </row>
    <row r="100" s="125" customFormat="1" ht="20.1" customHeight="1" spans="8:8">
      <c r="H100" s="127"/>
    </row>
    <row r="101" s="125" customFormat="1" ht="20.1" customHeight="1" spans="8:8">
      <c r="H101" s="127"/>
    </row>
    <row r="102" s="125" customFormat="1" ht="20.1" customHeight="1" spans="8:8">
      <c r="H102" s="127"/>
    </row>
    <row r="103" s="125" customFormat="1" ht="20.1" customHeight="1" spans="8:8">
      <c r="H103" s="127"/>
    </row>
    <row r="104" s="125" customFormat="1" ht="20.1" customHeight="1" spans="8:8">
      <c r="H104" s="127"/>
    </row>
    <row r="105" s="125" customFormat="1" ht="20.1" customHeight="1" spans="8:8">
      <c r="H105" s="127"/>
    </row>
    <row r="106" s="125" customFormat="1" ht="20.1" customHeight="1" spans="8:8">
      <c r="H106" s="127"/>
    </row>
    <row r="107" s="125" customFormat="1" ht="20.1" customHeight="1" spans="8:8">
      <c r="H107" s="127"/>
    </row>
    <row r="108" s="125" customFormat="1" ht="20.1" customHeight="1" spans="8:8">
      <c r="H108" s="127"/>
    </row>
    <row r="109" s="125" customFormat="1" ht="20.1" customHeight="1" spans="8:8">
      <c r="H109" s="127"/>
    </row>
    <row r="110" s="125" customFormat="1" ht="20.1" customHeight="1" spans="8:8">
      <c r="H110" s="127"/>
    </row>
    <row r="111" s="125" customFormat="1" ht="20.1" customHeight="1" spans="8:8">
      <c r="H111" s="127"/>
    </row>
    <row r="112" s="125" customFormat="1" spans="8:8">
      <c r="H112" s="127"/>
    </row>
    <row r="113" s="125" customFormat="1" spans="8:8">
      <c r="H113" s="127"/>
    </row>
    <row r="114" s="125" customFormat="1" spans="8:8">
      <c r="H114" s="127"/>
    </row>
    <row r="115" s="125" customFormat="1" spans="8:8">
      <c r="H115" s="127"/>
    </row>
    <row r="116" s="125" customFormat="1" spans="8:8">
      <c r="H116" s="127"/>
    </row>
    <row r="117" s="125" customFormat="1" spans="8:8">
      <c r="H117" s="127"/>
    </row>
    <row r="118" s="125" customFormat="1" spans="8:8">
      <c r="H118" s="127"/>
    </row>
    <row r="119" s="125" customFormat="1" spans="8:8">
      <c r="H119" s="127"/>
    </row>
    <row r="120" s="125" customFormat="1" spans="8:8">
      <c r="H120" s="127"/>
    </row>
    <row r="121" s="125" customFormat="1" spans="8:8">
      <c r="H121" s="127"/>
    </row>
    <row r="122" s="125" customFormat="1" spans="8:8">
      <c r="H122" s="127"/>
    </row>
    <row r="123" s="125" customFormat="1" spans="8:8">
      <c r="H123" s="127"/>
    </row>
    <row r="124" s="125" customFormat="1" spans="8:8">
      <c r="H124" s="127"/>
    </row>
    <row r="125" s="125" customFormat="1" spans="8:8">
      <c r="H125" s="127"/>
    </row>
    <row r="126" s="125" customFormat="1" spans="8:8">
      <c r="H126" s="127"/>
    </row>
    <row r="127" s="125" customFormat="1" spans="8:8">
      <c r="H127" s="127"/>
    </row>
    <row r="128" s="125" customFormat="1" spans="8:8">
      <c r="H128" s="127"/>
    </row>
    <row r="129" s="125" customFormat="1" spans="8:8">
      <c r="H129" s="127"/>
    </row>
    <row r="130" s="125" customFormat="1" spans="8:8">
      <c r="H130" s="127"/>
    </row>
    <row r="131" s="125" customFormat="1" spans="8:8">
      <c r="H131" s="127"/>
    </row>
    <row r="132" s="125" customFormat="1" spans="8:8">
      <c r="H132" s="127"/>
    </row>
    <row r="133" s="125" customFormat="1" spans="8:8">
      <c r="H133" s="127"/>
    </row>
    <row r="134" s="125" customFormat="1" spans="8:8">
      <c r="H134" s="127"/>
    </row>
    <row r="135" s="125" customFormat="1" spans="8:8">
      <c r="H135" s="127"/>
    </row>
    <row r="136" s="125" customFormat="1" spans="8:8">
      <c r="H136" s="127"/>
    </row>
    <row r="137" s="125" customFormat="1" spans="8:8">
      <c r="H137" s="127"/>
    </row>
    <row r="138" s="125" customFormat="1" spans="8:8">
      <c r="H138" s="127"/>
    </row>
    <row r="139" s="125" customFormat="1" spans="8:8">
      <c r="H139" s="127"/>
    </row>
    <row r="140" s="125" customFormat="1" spans="8:8">
      <c r="H140" s="127"/>
    </row>
    <row r="141" s="125" customFormat="1" spans="8:8">
      <c r="H141" s="127"/>
    </row>
    <row r="142" s="125" customFormat="1" spans="8:8">
      <c r="H142" s="127"/>
    </row>
    <row r="143" s="125" customFormat="1" spans="8:8">
      <c r="H143" s="127"/>
    </row>
    <row r="144" s="125" customFormat="1" spans="8:8">
      <c r="H144" s="127"/>
    </row>
    <row r="145" s="125" customFormat="1" spans="8:8">
      <c r="H145" s="127"/>
    </row>
    <row r="146" s="125" customFormat="1" spans="8:8">
      <c r="H146" s="127"/>
    </row>
    <row r="147" s="125" customFormat="1" spans="8:8">
      <c r="H147" s="127"/>
    </row>
    <row r="148" s="125" customFormat="1" spans="8:8">
      <c r="H148" s="127"/>
    </row>
    <row r="149" s="125" customFormat="1" spans="8:8">
      <c r="H149" s="127"/>
    </row>
    <row r="150" s="125" customFormat="1" spans="8:8">
      <c r="H150" s="127"/>
    </row>
    <row r="151" s="125" customFormat="1" spans="8:8">
      <c r="H151" s="127"/>
    </row>
    <row r="152" s="125" customFormat="1" spans="8:8">
      <c r="H152" s="127"/>
    </row>
    <row r="153" s="125" customFormat="1" spans="8:8">
      <c r="H153" s="127"/>
    </row>
    <row r="154" s="125" customFormat="1" spans="8:8">
      <c r="H154" s="127"/>
    </row>
    <row r="155" s="125" customFormat="1" spans="8:8">
      <c r="H155" s="127"/>
    </row>
    <row r="156" s="125" customFormat="1" spans="8:8">
      <c r="H156" s="127"/>
    </row>
    <row r="157" s="125" customFormat="1" spans="8:8">
      <c r="H157" s="127"/>
    </row>
    <row r="158" s="125" customFormat="1" spans="8:8">
      <c r="H158" s="127"/>
    </row>
    <row r="159" s="125" customFormat="1" spans="8:8">
      <c r="H159" s="127"/>
    </row>
    <row r="160" s="125" customFormat="1" spans="8:8">
      <c r="H160" s="127"/>
    </row>
    <row r="161" s="125" customFormat="1" spans="8:8">
      <c r="H161" s="127"/>
    </row>
    <row r="162" s="125" customFormat="1" spans="8:8">
      <c r="H162" s="127"/>
    </row>
    <row r="163" s="125" customFormat="1" spans="8:8">
      <c r="H163" s="127"/>
    </row>
    <row r="164" s="125" customFormat="1" spans="8:8">
      <c r="H164" s="127"/>
    </row>
    <row r="165" s="125" customFormat="1" spans="8:8">
      <c r="H165" s="127"/>
    </row>
    <row r="166" s="125" customFormat="1" spans="8:8">
      <c r="H166" s="127"/>
    </row>
    <row r="167" s="125" customFormat="1" spans="8:8">
      <c r="H167" s="127"/>
    </row>
    <row r="168" s="125" customFormat="1" spans="8:8">
      <c r="H168" s="127"/>
    </row>
    <row r="169" s="125" customFormat="1" spans="8:8">
      <c r="H169" s="127"/>
    </row>
    <row r="170" s="125" customFormat="1" spans="8:8">
      <c r="H170" s="127"/>
    </row>
    <row r="171" s="125" customFormat="1" spans="8:8">
      <c r="H171" s="127"/>
    </row>
    <row r="172" s="125" customFormat="1" spans="8:8">
      <c r="H172" s="127"/>
    </row>
    <row r="173" s="125" customFormat="1" spans="8:8">
      <c r="H173" s="127"/>
    </row>
    <row r="174" s="125" customFormat="1" spans="8:8">
      <c r="H174" s="127"/>
    </row>
    <row r="175" s="125" customFormat="1" spans="8:8">
      <c r="H175" s="127"/>
    </row>
    <row r="176" s="125" customFormat="1" spans="8:8">
      <c r="H176" s="127"/>
    </row>
    <row r="177" s="125" customFormat="1" spans="8:8">
      <c r="H177" s="127"/>
    </row>
    <row r="178" s="125" customFormat="1" spans="8:8">
      <c r="H178" s="127"/>
    </row>
    <row r="179" s="125" customFormat="1" spans="8:8">
      <c r="H179" s="127"/>
    </row>
    <row r="180" s="125" customFormat="1" spans="8:8">
      <c r="H180" s="127"/>
    </row>
    <row r="181" s="125" customFormat="1" spans="8:8">
      <c r="H181" s="127"/>
    </row>
    <row r="182" s="125" customFormat="1" spans="8:8">
      <c r="H182" s="127"/>
    </row>
    <row r="183" s="125" customFormat="1" spans="8:8">
      <c r="H183" s="127"/>
    </row>
    <row r="184" s="125" customFormat="1" spans="8:8">
      <c r="H184" s="127"/>
    </row>
    <row r="185" s="125" customFormat="1" spans="8:8">
      <c r="H185" s="127"/>
    </row>
    <row r="186" s="125" customFormat="1" spans="8:8">
      <c r="H186" s="127"/>
    </row>
    <row r="187" s="125" customFormat="1" spans="8:8">
      <c r="H187" s="127"/>
    </row>
    <row r="188" s="125" customFormat="1" spans="8:8">
      <c r="H188" s="127"/>
    </row>
    <row r="189" s="125" customFormat="1" spans="8:8">
      <c r="H189" s="127"/>
    </row>
    <row r="190" s="125" customFormat="1" spans="8:8">
      <c r="H190" s="127"/>
    </row>
    <row r="191" s="125" customFormat="1" spans="8:8">
      <c r="H191" s="127"/>
    </row>
    <row r="192" s="125" customFormat="1" spans="8:8">
      <c r="H192" s="127"/>
    </row>
    <row r="193" s="125" customFormat="1" spans="8:8">
      <c r="H193" s="127"/>
    </row>
    <row r="194" s="125" customFormat="1" spans="8:8">
      <c r="H194" s="127"/>
    </row>
    <row r="195" s="125" customFormat="1" spans="8:8">
      <c r="H195" s="127"/>
    </row>
    <row r="196" s="125" customFormat="1" spans="8:8">
      <c r="H196" s="127"/>
    </row>
    <row r="197" s="125" customFormat="1" spans="8:8">
      <c r="H197" s="127"/>
    </row>
    <row r="198" s="125" customFormat="1" spans="8:8">
      <c r="H198" s="127"/>
    </row>
    <row r="199" s="125" customFormat="1" spans="8:8">
      <c r="H199" s="127"/>
    </row>
    <row r="200" s="125" customFormat="1" spans="8:8">
      <c r="H200" s="127"/>
    </row>
    <row r="201" s="125" customFormat="1" spans="8:8">
      <c r="H201" s="127"/>
    </row>
    <row r="202" s="125" customFormat="1" spans="8:8">
      <c r="H202" s="127"/>
    </row>
    <row r="203" s="125" customFormat="1" spans="8:8">
      <c r="H203" s="127"/>
    </row>
    <row r="204" s="125" customFormat="1" spans="8:8">
      <c r="H204" s="127"/>
    </row>
    <row r="205" s="125" customFormat="1" spans="8:8">
      <c r="H205" s="127"/>
    </row>
    <row r="206" s="125" customFormat="1" spans="8:8">
      <c r="H206" s="127"/>
    </row>
    <row r="207" s="125" customFormat="1" spans="8:8">
      <c r="H207" s="127"/>
    </row>
    <row r="208" s="125" customFormat="1" spans="8:8">
      <c r="H208" s="127"/>
    </row>
    <row r="209" s="125" customFormat="1" spans="8:8">
      <c r="H209" s="127"/>
    </row>
    <row r="210" s="125" customFormat="1" spans="8:8">
      <c r="H210" s="127"/>
    </row>
    <row r="211" s="125" customFormat="1" spans="8:8">
      <c r="H211" s="127"/>
    </row>
    <row r="212" s="125" customFormat="1" spans="8:8">
      <c r="H212" s="127"/>
    </row>
    <row r="213" s="125" customFormat="1" spans="8:8">
      <c r="H213" s="127"/>
    </row>
    <row r="214" s="125" customFormat="1" spans="8:8">
      <c r="H214" s="127"/>
    </row>
    <row r="215" s="125" customFormat="1" spans="8:8">
      <c r="H215" s="127"/>
    </row>
    <row r="216" s="125" customFormat="1" spans="8:8">
      <c r="H216" s="127"/>
    </row>
    <row r="217" s="125" customFormat="1" spans="8:8">
      <c r="H217" s="127"/>
    </row>
    <row r="218" s="125" customFormat="1" spans="8:8">
      <c r="H218" s="127"/>
    </row>
    <row r="219" s="125" customFormat="1" spans="8:8">
      <c r="H219" s="127"/>
    </row>
    <row r="220" s="125" customFormat="1" spans="8:8">
      <c r="H220" s="127"/>
    </row>
    <row r="221" s="125" customFormat="1" spans="8:8">
      <c r="H221" s="127"/>
    </row>
    <row r="222" s="125" customFormat="1" spans="8:8">
      <c r="H222" s="127"/>
    </row>
    <row r="223" s="125" customFormat="1" spans="8:8">
      <c r="H223" s="127"/>
    </row>
    <row r="224" s="125" customFormat="1" spans="8:8">
      <c r="H224" s="127"/>
    </row>
    <row r="225" s="125" customFormat="1" spans="8:8">
      <c r="H225" s="127"/>
    </row>
    <row r="226" s="125" customFormat="1" spans="8:8">
      <c r="H226" s="127"/>
    </row>
    <row r="227" s="125" customFormat="1" spans="8:8">
      <c r="H227" s="127"/>
    </row>
  </sheetData>
  <autoFilter xmlns:etc="http://www.wps.cn/officeDocument/2017/etCustomData" ref="A3:I227" etc:filterBottomFollowUsedRange="0">
    <extLst/>
  </autoFilter>
  <mergeCells count="3">
    <mergeCell ref="A1:H1"/>
    <mergeCell ref="A3:D3"/>
    <mergeCell ref="E3:H3"/>
  </mergeCells>
  <printOptions horizontalCentered="1" verticalCentered="1"/>
  <pageMargins left="0.708661417322835" right="0.708661417322835" top="0.551181102362205" bottom="0.748031496062992" header="0.31496062992126" footer="0.31496062992126"/>
  <pageSetup paperSize="9" scale="90" orientation="landscape" blackAndWhite="1"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3"/>
  <sheetViews>
    <sheetView topLeftCell="A88" workbookViewId="0">
      <selection activeCell="B101" sqref="B101"/>
    </sheetView>
  </sheetViews>
  <sheetFormatPr defaultColWidth="9" defaultRowHeight="15" outlineLevelCol="7"/>
  <cols>
    <col min="1" max="1" width="36.5" style="125" customWidth="1"/>
    <col min="2" max="2" width="10.5" style="125" customWidth="1"/>
    <col min="3" max="3" width="8.625" style="125" customWidth="1"/>
    <col min="4" max="4" width="11.5" style="125" customWidth="1"/>
    <col min="5" max="5" width="51.875" style="125" customWidth="1"/>
    <col min="6" max="6" width="10.375" style="125" customWidth="1"/>
    <col min="7" max="7" width="9.375" style="125" customWidth="1"/>
    <col min="8" max="8" width="12" style="127" customWidth="1"/>
    <col min="9" max="16384" width="9" style="125"/>
  </cols>
  <sheetData>
    <row r="1" s="125" customFormat="1" ht="18" customHeight="1" spans="1:8">
      <c r="A1" s="599" t="s">
        <v>4295</v>
      </c>
      <c r="B1" s="105"/>
      <c r="C1" s="105"/>
      <c r="D1" s="105"/>
      <c r="E1" s="105"/>
      <c r="F1" s="105"/>
      <c r="G1" s="105"/>
      <c r="H1" s="128"/>
    </row>
    <row r="2" s="125" customFormat="1" ht="18" customHeight="1" spans="1:8">
      <c r="A2" s="129"/>
      <c r="H2" s="130" t="s">
        <v>51</v>
      </c>
    </row>
    <row r="3" s="125" customFormat="1" ht="24.75" customHeight="1" spans="1:8">
      <c r="A3" s="131" t="s">
        <v>4141</v>
      </c>
      <c r="B3" s="132"/>
      <c r="C3" s="132"/>
      <c r="D3" s="133"/>
      <c r="E3" s="131" t="s">
        <v>4142</v>
      </c>
      <c r="F3" s="132"/>
      <c r="G3" s="132"/>
      <c r="H3" s="134"/>
    </row>
    <row r="4" s="92" customFormat="1" ht="35.25" customHeight="1" spans="1:8">
      <c r="A4" s="39" t="s">
        <v>52</v>
      </c>
      <c r="B4" s="135" t="s">
        <v>4197</v>
      </c>
      <c r="C4" s="135" t="s">
        <v>4198</v>
      </c>
      <c r="D4" s="135" t="s">
        <v>1079</v>
      </c>
      <c r="E4" s="39" t="s">
        <v>52</v>
      </c>
      <c r="F4" s="135" t="s">
        <v>4197</v>
      </c>
      <c r="G4" s="135" t="s">
        <v>4198</v>
      </c>
      <c r="H4" s="136" t="s">
        <v>1079</v>
      </c>
    </row>
    <row r="5" s="126" customFormat="1" ht="20.1" customHeight="1" spans="1:8">
      <c r="A5" s="137" t="s">
        <v>4199</v>
      </c>
      <c r="B5" s="138">
        <f>SUM(B6:B34)</f>
        <v>5448</v>
      </c>
      <c r="C5" s="138">
        <f>SUM(C6:C34)</f>
        <v>23600</v>
      </c>
      <c r="D5" s="139">
        <f>C5/B5</f>
        <v>4.3319</v>
      </c>
      <c r="E5" s="117" t="s">
        <v>4215</v>
      </c>
      <c r="F5" s="140">
        <f>SUM(F6)</f>
        <v>0</v>
      </c>
      <c r="G5" s="140">
        <f>SUM(G6)</f>
        <v>0</v>
      </c>
      <c r="H5" s="139"/>
    </row>
    <row r="6" s="126" customFormat="1" ht="20.1" customHeight="1" spans="1:8">
      <c r="A6" s="141" t="s">
        <v>697</v>
      </c>
      <c r="B6" s="36"/>
      <c r="C6" s="36"/>
      <c r="D6" s="139"/>
      <c r="E6" s="119" t="s">
        <v>4216</v>
      </c>
      <c r="F6" s="36"/>
      <c r="G6" s="36"/>
      <c r="H6" s="142"/>
    </row>
    <row r="7" s="126" customFormat="1" ht="20.1" customHeight="1" spans="1:8">
      <c r="A7" s="141" t="s">
        <v>703</v>
      </c>
      <c r="B7" s="36"/>
      <c r="C7" s="36"/>
      <c r="D7" s="139"/>
      <c r="E7" s="117" t="s">
        <v>4217</v>
      </c>
      <c r="F7" s="138">
        <f>F8+F9</f>
        <v>0</v>
      </c>
      <c r="G7" s="138">
        <f>G8+G9</f>
        <v>0</v>
      </c>
      <c r="H7" s="139"/>
    </row>
    <row r="8" s="126" customFormat="1" ht="20.1" customHeight="1" spans="1:8">
      <c r="A8" s="141" t="s">
        <v>705</v>
      </c>
      <c r="B8" s="36"/>
      <c r="C8" s="36"/>
      <c r="D8" s="139"/>
      <c r="E8" s="120" t="s">
        <v>4218</v>
      </c>
      <c r="F8" s="36"/>
      <c r="G8" s="36"/>
      <c r="H8" s="142"/>
    </row>
    <row r="9" s="126" customFormat="1" ht="20.1" customHeight="1" spans="1:8">
      <c r="A9" s="141" t="s">
        <v>707</v>
      </c>
      <c r="B9" s="36"/>
      <c r="C9" s="36"/>
      <c r="D9" s="139"/>
      <c r="E9" s="119" t="s">
        <v>4216</v>
      </c>
      <c r="F9" s="36"/>
      <c r="G9" s="36"/>
      <c r="H9" s="142"/>
    </row>
    <row r="10" s="126" customFormat="1" ht="20.1" customHeight="1" spans="1:8">
      <c r="A10" s="141" t="s">
        <v>709</v>
      </c>
      <c r="B10" s="36"/>
      <c r="C10" s="36"/>
      <c r="D10" s="139"/>
      <c r="E10" s="117" t="s">
        <v>4219</v>
      </c>
      <c r="F10" s="138">
        <f>SUM(F11:F14)</f>
        <v>5</v>
      </c>
      <c r="G10" s="138">
        <f>SUM(G11:G14)</f>
        <v>9</v>
      </c>
      <c r="H10" s="139">
        <f>G10/F10</f>
        <v>1.8</v>
      </c>
    </row>
    <row r="11" s="126" customFormat="1" ht="20.1" customHeight="1" spans="1:8">
      <c r="A11" s="141" t="s">
        <v>711</v>
      </c>
      <c r="B11" s="36"/>
      <c r="C11" s="36"/>
      <c r="D11" s="139"/>
      <c r="E11" s="120" t="s">
        <v>4220</v>
      </c>
      <c r="F11" s="36">
        <v>5</v>
      </c>
      <c r="G11" s="36">
        <v>9</v>
      </c>
      <c r="H11" s="142">
        <f>G11/F11</f>
        <v>1.8</v>
      </c>
    </row>
    <row r="12" s="126" customFormat="1" ht="20.1" customHeight="1" spans="1:8">
      <c r="A12" s="141" t="s">
        <v>713</v>
      </c>
      <c r="B12" s="36"/>
      <c r="C12" s="36"/>
      <c r="D12" s="139"/>
      <c r="E12" s="120" t="s">
        <v>4221</v>
      </c>
      <c r="F12" s="36"/>
      <c r="G12" s="36"/>
      <c r="H12" s="142"/>
    </row>
    <row r="13" s="126" customFormat="1" ht="20.1" customHeight="1" spans="1:8">
      <c r="A13" s="141" t="s">
        <v>715</v>
      </c>
      <c r="B13" s="36"/>
      <c r="C13" s="36"/>
      <c r="D13" s="139"/>
      <c r="E13" s="120" t="s">
        <v>4222</v>
      </c>
      <c r="F13" s="36"/>
      <c r="G13" s="36"/>
      <c r="H13" s="142"/>
    </row>
    <row r="14" s="126" customFormat="1" ht="20.1" customHeight="1" spans="1:8">
      <c r="A14" s="141" t="s">
        <v>717</v>
      </c>
      <c r="B14" s="36">
        <v>4732</v>
      </c>
      <c r="C14" s="36">
        <v>22300</v>
      </c>
      <c r="D14" s="139">
        <f>C14/B14</f>
        <v>4.7126</v>
      </c>
      <c r="E14" s="119" t="s">
        <v>4216</v>
      </c>
      <c r="F14" s="36"/>
      <c r="G14" s="36"/>
      <c r="H14" s="142"/>
    </row>
    <row r="15" s="126" customFormat="1" ht="20.1" customHeight="1" spans="1:8">
      <c r="A15" s="141" t="s">
        <v>729</v>
      </c>
      <c r="B15" s="36"/>
      <c r="C15" s="36"/>
      <c r="D15" s="139"/>
      <c r="E15" s="117" t="s">
        <v>4223</v>
      </c>
      <c r="F15" s="138">
        <f>SUM(F16)</f>
        <v>0</v>
      </c>
      <c r="G15" s="138">
        <f>SUM(G16)</f>
        <v>0</v>
      </c>
      <c r="H15" s="139"/>
    </row>
    <row r="16" s="126" customFormat="1" ht="20.1" customHeight="1" spans="1:8">
      <c r="A16" s="141" t="s">
        <v>731</v>
      </c>
      <c r="B16" s="36"/>
      <c r="C16" s="36"/>
      <c r="D16" s="139"/>
      <c r="E16" s="119" t="s">
        <v>4216</v>
      </c>
      <c r="F16" s="36"/>
      <c r="G16" s="36"/>
      <c r="H16" s="142"/>
    </row>
    <row r="17" s="126" customFormat="1" ht="20.1" customHeight="1" spans="1:8">
      <c r="A17" s="141" t="s">
        <v>737</v>
      </c>
      <c r="B17" s="36"/>
      <c r="C17" s="36"/>
      <c r="D17" s="139"/>
      <c r="E17" s="117" t="s">
        <v>4224</v>
      </c>
      <c r="F17" s="138">
        <f>SUM(F18:F20)</f>
        <v>0</v>
      </c>
      <c r="G17" s="138">
        <f>SUM(G18:G20)</f>
        <v>0</v>
      </c>
      <c r="H17" s="139"/>
    </row>
    <row r="18" s="126" customFormat="1" ht="20.1" customHeight="1" spans="1:8">
      <c r="A18" s="141" t="s">
        <v>739</v>
      </c>
      <c r="B18" s="36"/>
      <c r="C18" s="36"/>
      <c r="D18" s="139"/>
      <c r="E18" s="119" t="s">
        <v>4225</v>
      </c>
      <c r="F18" s="36"/>
      <c r="G18" s="36"/>
      <c r="H18" s="142"/>
    </row>
    <row r="19" s="126" customFormat="1" ht="20.1" customHeight="1" spans="1:8">
      <c r="A19" s="141" t="s">
        <v>741</v>
      </c>
      <c r="B19" s="36"/>
      <c r="C19" s="36"/>
      <c r="D19" s="139"/>
      <c r="E19" s="119" t="s">
        <v>4226</v>
      </c>
      <c r="F19" s="36"/>
      <c r="G19" s="36"/>
      <c r="H19" s="142"/>
    </row>
    <row r="20" s="126" customFormat="1" ht="20.1" customHeight="1" spans="1:8">
      <c r="A20" s="141" t="s">
        <v>743</v>
      </c>
      <c r="B20" s="36"/>
      <c r="C20" s="36"/>
      <c r="D20" s="139"/>
      <c r="E20" s="119" t="s">
        <v>4216</v>
      </c>
      <c r="F20" s="36"/>
      <c r="G20" s="36"/>
      <c r="H20" s="142"/>
    </row>
    <row r="21" s="126" customFormat="1" ht="20.1" customHeight="1" spans="1:8">
      <c r="A21" s="141" t="s">
        <v>749</v>
      </c>
      <c r="B21" s="36">
        <v>116</v>
      </c>
      <c r="C21" s="36">
        <v>700</v>
      </c>
      <c r="D21" s="139">
        <f>C21/B21</f>
        <v>6.0345</v>
      </c>
      <c r="E21" s="117" t="s">
        <v>4227</v>
      </c>
      <c r="F21" s="138">
        <f>SUM(F22:F32)</f>
        <v>14947</v>
      </c>
      <c r="G21" s="138">
        <f>SUM(G22:G32)</f>
        <v>20881</v>
      </c>
      <c r="H21" s="139">
        <f t="shared" ref="H21:H24" si="0">G21/F21</f>
        <v>1.397</v>
      </c>
    </row>
    <row r="22" s="126" customFormat="1" ht="20.1" customHeight="1" spans="1:8">
      <c r="A22" s="141" t="s">
        <v>751</v>
      </c>
      <c r="B22" s="36"/>
      <c r="C22" s="36"/>
      <c r="D22" s="139"/>
      <c r="E22" s="119" t="s">
        <v>4228</v>
      </c>
      <c r="F22" s="36">
        <v>5344</v>
      </c>
      <c r="G22" s="36">
        <v>17782</v>
      </c>
      <c r="H22" s="142">
        <f t="shared" si="0"/>
        <v>3.3275</v>
      </c>
    </row>
    <row r="23" s="92" customFormat="1" ht="20.1" customHeight="1" spans="1:8">
      <c r="A23" s="141" t="s">
        <v>753</v>
      </c>
      <c r="B23" s="36"/>
      <c r="C23" s="36"/>
      <c r="D23" s="139"/>
      <c r="E23" s="119" t="s">
        <v>4229</v>
      </c>
      <c r="F23" s="36"/>
      <c r="G23" s="36"/>
      <c r="H23" s="142"/>
    </row>
    <row r="24" s="92" customFormat="1" ht="20.1" customHeight="1" spans="1:8">
      <c r="A24" s="141" t="s">
        <v>759</v>
      </c>
      <c r="B24" s="36"/>
      <c r="C24" s="36"/>
      <c r="D24" s="139"/>
      <c r="E24" s="119" t="s">
        <v>4230</v>
      </c>
      <c r="F24" s="36">
        <v>7</v>
      </c>
      <c r="G24" s="36">
        <v>262</v>
      </c>
      <c r="H24" s="142">
        <f t="shared" si="0"/>
        <v>37.4286</v>
      </c>
    </row>
    <row r="25" s="92" customFormat="1" ht="20.1" customHeight="1" spans="1:8">
      <c r="A25" s="141" t="s">
        <v>761</v>
      </c>
      <c r="B25" s="36"/>
      <c r="C25" s="36"/>
      <c r="D25" s="139"/>
      <c r="E25" s="119" t="s">
        <v>4231</v>
      </c>
      <c r="F25" s="36"/>
      <c r="G25" s="36"/>
      <c r="H25" s="142"/>
    </row>
    <row r="26" s="92" customFormat="1" ht="20.1" customHeight="1" spans="1:8">
      <c r="A26" s="141" t="s">
        <v>763</v>
      </c>
      <c r="B26" s="36"/>
      <c r="C26" s="36"/>
      <c r="D26" s="139"/>
      <c r="E26" s="119" t="s">
        <v>4232</v>
      </c>
      <c r="F26" s="36">
        <v>350</v>
      </c>
      <c r="G26" s="36">
        <v>696</v>
      </c>
      <c r="H26" s="142">
        <f>G26/F26</f>
        <v>1.9886</v>
      </c>
    </row>
    <row r="27" s="92" customFormat="1" ht="20.1" customHeight="1" spans="1:8">
      <c r="A27" s="141" t="s">
        <v>765</v>
      </c>
      <c r="B27" s="36"/>
      <c r="C27" s="36"/>
      <c r="D27" s="139"/>
      <c r="E27" s="119" t="s">
        <v>4233</v>
      </c>
      <c r="F27" s="36"/>
      <c r="G27" s="36"/>
      <c r="H27" s="142"/>
    </row>
    <row r="28" s="92" customFormat="1" ht="20.1" customHeight="1" spans="1:8">
      <c r="A28" s="141" t="s">
        <v>767</v>
      </c>
      <c r="B28" s="36"/>
      <c r="C28" s="36"/>
      <c r="D28" s="139"/>
      <c r="E28" s="119" t="s">
        <v>4234</v>
      </c>
      <c r="F28" s="36"/>
      <c r="G28" s="36">
        <v>200</v>
      </c>
      <c r="H28" s="142"/>
    </row>
    <row r="29" s="92" customFormat="1" ht="20.1" customHeight="1" spans="1:8">
      <c r="A29" s="141" t="s">
        <v>773</v>
      </c>
      <c r="B29" s="36">
        <v>600</v>
      </c>
      <c r="C29" s="36">
        <v>600</v>
      </c>
      <c r="D29" s="139">
        <f>C29/B29</f>
        <v>1</v>
      </c>
      <c r="E29" s="119" t="s">
        <v>4235</v>
      </c>
      <c r="F29" s="36"/>
      <c r="G29" s="36"/>
      <c r="H29" s="142"/>
    </row>
    <row r="30" s="92" customFormat="1" ht="20.1" customHeight="1" spans="1:8">
      <c r="A30" s="141" t="s">
        <v>4200</v>
      </c>
      <c r="B30" s="36"/>
      <c r="C30" s="36"/>
      <c r="D30" s="139"/>
      <c r="E30" s="119" t="s">
        <v>4236</v>
      </c>
      <c r="F30" s="36"/>
      <c r="G30" s="36"/>
      <c r="H30" s="142"/>
    </row>
    <row r="31" s="92" customFormat="1" ht="20.1" customHeight="1" spans="1:8">
      <c r="A31" s="141" t="s">
        <v>791</v>
      </c>
      <c r="B31" s="36"/>
      <c r="C31" s="36"/>
      <c r="D31" s="139"/>
      <c r="E31" s="119" t="s">
        <v>4237</v>
      </c>
      <c r="F31" s="36">
        <v>9246</v>
      </c>
      <c r="G31" s="36">
        <v>1941</v>
      </c>
      <c r="H31" s="142">
        <f t="shared" ref="H31:H34" si="1">G31/F31</f>
        <v>0.2099</v>
      </c>
    </row>
    <row r="32" s="92" customFormat="1" ht="20.1" customHeight="1" spans="1:8">
      <c r="A32" s="141" t="s">
        <v>4201</v>
      </c>
      <c r="B32" s="36"/>
      <c r="C32" s="36"/>
      <c r="D32" s="139"/>
      <c r="E32" s="119" t="s">
        <v>4216</v>
      </c>
      <c r="F32" s="36"/>
      <c r="G32" s="36"/>
      <c r="H32" s="142"/>
    </row>
    <row r="33" s="92" customFormat="1" ht="20.1" customHeight="1" spans="1:8">
      <c r="A33" s="141" t="s">
        <v>4202</v>
      </c>
      <c r="B33" s="36"/>
      <c r="C33" s="36"/>
      <c r="D33" s="139"/>
      <c r="E33" s="117" t="s">
        <v>4238</v>
      </c>
      <c r="F33" s="138">
        <f>SUM(F34:F42)</f>
        <v>972</v>
      </c>
      <c r="G33" s="138">
        <f>SUM(G34:G42)</f>
        <v>8271</v>
      </c>
      <c r="H33" s="139">
        <f t="shared" si="1"/>
        <v>8.5093</v>
      </c>
    </row>
    <row r="34" s="92" customFormat="1" ht="20.1" customHeight="1" spans="1:8">
      <c r="A34" s="141" t="s">
        <v>793</v>
      </c>
      <c r="B34" s="36"/>
      <c r="C34" s="36"/>
      <c r="D34" s="139"/>
      <c r="E34" s="119" t="s">
        <v>4239</v>
      </c>
      <c r="F34" s="36">
        <v>121</v>
      </c>
      <c r="G34" s="36">
        <v>1091</v>
      </c>
      <c r="H34" s="142">
        <f t="shared" si="1"/>
        <v>9.0165</v>
      </c>
    </row>
    <row r="35" s="92" customFormat="1" ht="19.9" customHeight="1" spans="1:8">
      <c r="A35" s="137" t="s">
        <v>795</v>
      </c>
      <c r="B35" s="138">
        <f>SUM(B36:B46)</f>
        <v>148</v>
      </c>
      <c r="C35" s="138">
        <f>SUM(C36:C46)</f>
        <v>0</v>
      </c>
      <c r="D35" s="139">
        <f>C35/B35</f>
        <v>0</v>
      </c>
      <c r="E35" s="119" t="s">
        <v>4240</v>
      </c>
      <c r="F35" s="36"/>
      <c r="G35" s="36"/>
      <c r="H35" s="142"/>
    </row>
    <row r="36" s="92" customFormat="1" ht="20.1" customHeight="1" spans="1:8">
      <c r="A36" s="141" t="s">
        <v>4203</v>
      </c>
      <c r="B36" s="36"/>
      <c r="C36" s="36"/>
      <c r="D36" s="139"/>
      <c r="E36" s="119" t="s">
        <v>4241</v>
      </c>
      <c r="F36" s="36">
        <v>7</v>
      </c>
      <c r="G36" s="36">
        <v>234</v>
      </c>
      <c r="H36" s="142">
        <f t="shared" ref="H36:H40" si="2">G36/F36</f>
        <v>33.4286</v>
      </c>
    </row>
    <row r="37" s="93" customFormat="1" ht="20.1" customHeight="1" spans="1:8">
      <c r="A37" s="141" t="s">
        <v>4204</v>
      </c>
      <c r="B37" s="36"/>
      <c r="C37" s="36"/>
      <c r="D37" s="139"/>
      <c r="E37" s="119" t="s">
        <v>4242</v>
      </c>
      <c r="F37" s="36"/>
      <c r="G37" s="36"/>
      <c r="H37" s="142"/>
    </row>
    <row r="38" s="92" customFormat="1" ht="20.1" customHeight="1" spans="1:8">
      <c r="A38" s="141" t="s">
        <v>4205</v>
      </c>
      <c r="B38" s="36"/>
      <c r="C38" s="36"/>
      <c r="D38" s="139"/>
      <c r="E38" s="121" t="s">
        <v>4243</v>
      </c>
      <c r="F38" s="36"/>
      <c r="G38" s="36"/>
      <c r="H38" s="142"/>
    </row>
    <row r="39" s="92" customFormat="1" ht="20.1" customHeight="1" spans="1:8">
      <c r="A39" s="141" t="s">
        <v>4206</v>
      </c>
      <c r="B39" s="36"/>
      <c r="C39" s="36"/>
      <c r="D39" s="139"/>
      <c r="E39" s="121" t="s">
        <v>4244</v>
      </c>
      <c r="F39" s="36">
        <v>842</v>
      </c>
      <c r="G39" s="36">
        <v>6691</v>
      </c>
      <c r="H39" s="142">
        <f t="shared" si="2"/>
        <v>7.9466</v>
      </c>
    </row>
    <row r="40" s="92" customFormat="1" ht="20.1" customHeight="1" spans="1:8">
      <c r="A40" s="141" t="s">
        <v>4207</v>
      </c>
      <c r="B40" s="36"/>
      <c r="C40" s="36"/>
      <c r="D40" s="139"/>
      <c r="E40" s="121" t="s">
        <v>4245</v>
      </c>
      <c r="F40" s="36">
        <v>2</v>
      </c>
      <c r="G40" s="36">
        <v>255</v>
      </c>
      <c r="H40" s="142">
        <f t="shared" si="2"/>
        <v>127.5</v>
      </c>
    </row>
    <row r="41" s="92" customFormat="1" ht="20.1" customHeight="1" spans="1:8">
      <c r="A41" s="141" t="s">
        <v>4208</v>
      </c>
      <c r="B41" s="36"/>
      <c r="C41" s="36"/>
      <c r="D41" s="139"/>
      <c r="E41" s="121" t="s">
        <v>4246</v>
      </c>
      <c r="F41" s="36"/>
      <c r="G41" s="36"/>
      <c r="H41" s="142"/>
    </row>
    <row r="42" s="92" customFormat="1" ht="20.1" customHeight="1" spans="1:8">
      <c r="A42" s="141" t="s">
        <v>4209</v>
      </c>
      <c r="B42" s="36"/>
      <c r="C42" s="36"/>
      <c r="D42" s="139"/>
      <c r="E42" s="121" t="s">
        <v>4216</v>
      </c>
      <c r="F42" s="36"/>
      <c r="G42" s="36"/>
      <c r="H42" s="142"/>
    </row>
    <row r="43" s="92" customFormat="1" ht="20.1" customHeight="1" spans="1:8">
      <c r="A43" s="141" t="s">
        <v>4210</v>
      </c>
      <c r="B43" s="36"/>
      <c r="C43" s="36"/>
      <c r="D43" s="139"/>
      <c r="E43" s="117" t="s">
        <v>4247</v>
      </c>
      <c r="F43" s="138">
        <f>SUM(F44:F52)</f>
        <v>0</v>
      </c>
      <c r="G43" s="138">
        <f>SUM(G44:G52)</f>
        <v>0</v>
      </c>
      <c r="H43" s="139"/>
    </row>
    <row r="44" s="92" customFormat="1" ht="20.1" customHeight="1" spans="1:8">
      <c r="A44" s="141" t="s">
        <v>4211</v>
      </c>
      <c r="B44" s="36"/>
      <c r="C44" s="36"/>
      <c r="D44" s="139"/>
      <c r="E44" s="119" t="s">
        <v>4248</v>
      </c>
      <c r="F44" s="36"/>
      <c r="G44" s="36"/>
      <c r="H44" s="142"/>
    </row>
    <row r="45" s="92" customFormat="1" ht="20.1" customHeight="1" spans="1:8">
      <c r="A45" s="141" t="s">
        <v>4212</v>
      </c>
      <c r="B45" s="36"/>
      <c r="C45" s="36"/>
      <c r="D45" s="139"/>
      <c r="E45" s="119" t="s">
        <v>4249</v>
      </c>
      <c r="F45" s="36"/>
      <c r="G45" s="36"/>
      <c r="H45" s="142"/>
    </row>
    <row r="46" s="92" customFormat="1" ht="20.1" customHeight="1" spans="1:8">
      <c r="A46" s="141" t="s">
        <v>4213</v>
      </c>
      <c r="B46" s="36">
        <v>148</v>
      </c>
      <c r="C46" s="36"/>
      <c r="D46" s="139">
        <f>C46/B46</f>
        <v>0</v>
      </c>
      <c r="E46" s="119" t="s">
        <v>4250</v>
      </c>
      <c r="F46" s="36"/>
      <c r="G46" s="36"/>
      <c r="H46" s="142"/>
    </row>
    <row r="47" s="92" customFormat="1" ht="20.1" customHeight="1" spans="1:8">
      <c r="A47" s="143"/>
      <c r="B47" s="36"/>
      <c r="C47" s="36"/>
      <c r="D47" s="142"/>
      <c r="E47" s="119" t="s">
        <v>4251</v>
      </c>
      <c r="F47" s="36"/>
      <c r="G47" s="36"/>
      <c r="H47" s="142"/>
    </row>
    <row r="48" s="92" customFormat="1" ht="20.1" customHeight="1" spans="1:8">
      <c r="A48" s="143"/>
      <c r="B48" s="36"/>
      <c r="C48" s="36"/>
      <c r="D48" s="142"/>
      <c r="E48" s="119" t="s">
        <v>4252</v>
      </c>
      <c r="F48" s="36"/>
      <c r="G48" s="36"/>
      <c r="H48" s="142"/>
    </row>
    <row r="49" s="92" customFormat="1" ht="20.1" customHeight="1" spans="1:8">
      <c r="A49" s="143"/>
      <c r="B49" s="36"/>
      <c r="C49" s="36"/>
      <c r="D49" s="142"/>
      <c r="E49" s="119" t="s">
        <v>4253</v>
      </c>
      <c r="F49" s="36"/>
      <c r="G49" s="36"/>
      <c r="H49" s="142"/>
    </row>
    <row r="50" s="92" customFormat="1" ht="20.1" customHeight="1" spans="1:8">
      <c r="A50" s="143"/>
      <c r="B50" s="36"/>
      <c r="C50" s="36"/>
      <c r="D50" s="142"/>
      <c r="E50" s="119" t="s">
        <v>4254</v>
      </c>
      <c r="F50" s="36"/>
      <c r="G50" s="36"/>
      <c r="H50" s="142"/>
    </row>
    <row r="51" s="92" customFormat="1" ht="20.1" customHeight="1" spans="1:8">
      <c r="A51" s="143"/>
      <c r="B51" s="36"/>
      <c r="C51" s="36"/>
      <c r="D51" s="142"/>
      <c r="E51" s="119" t="s">
        <v>4255</v>
      </c>
      <c r="F51" s="36"/>
      <c r="G51" s="36"/>
      <c r="H51" s="142"/>
    </row>
    <row r="52" s="92" customFormat="1" ht="20.1" customHeight="1" spans="1:8">
      <c r="A52" s="143"/>
      <c r="B52" s="36"/>
      <c r="C52" s="36"/>
      <c r="D52" s="142"/>
      <c r="E52" s="119" t="s">
        <v>4216</v>
      </c>
      <c r="F52" s="36"/>
      <c r="G52" s="36"/>
      <c r="H52" s="142"/>
    </row>
    <row r="53" s="92" customFormat="1" ht="20.1" customHeight="1" spans="1:8">
      <c r="A53" s="143"/>
      <c r="B53" s="36"/>
      <c r="C53" s="36"/>
      <c r="D53" s="142"/>
      <c r="E53" s="117" t="s">
        <v>4256</v>
      </c>
      <c r="F53" s="138">
        <f>SUM(F54:F55)</f>
        <v>137</v>
      </c>
      <c r="G53" s="138">
        <f>SUM(G54:G55)</f>
        <v>420</v>
      </c>
      <c r="H53" s="139">
        <f>G53/F53</f>
        <v>3.0657</v>
      </c>
    </row>
    <row r="54" s="92" customFormat="1" ht="20.1" customHeight="1" spans="1:8">
      <c r="A54" s="143"/>
      <c r="B54" s="36"/>
      <c r="C54" s="36"/>
      <c r="D54" s="142"/>
      <c r="E54" s="119" t="s">
        <v>4257</v>
      </c>
      <c r="F54" s="36"/>
      <c r="G54" s="36"/>
      <c r="H54" s="142"/>
    </row>
    <row r="55" s="92" customFormat="1" ht="20.1" customHeight="1" spans="1:8">
      <c r="A55" s="143"/>
      <c r="B55" s="36"/>
      <c r="C55" s="36"/>
      <c r="D55" s="142"/>
      <c r="E55" s="119" t="s">
        <v>4216</v>
      </c>
      <c r="F55" s="36">
        <v>137</v>
      </c>
      <c r="G55" s="36">
        <v>420</v>
      </c>
      <c r="H55" s="142">
        <f>G55/F55</f>
        <v>3.0657</v>
      </c>
    </row>
    <row r="56" s="92" customFormat="1" ht="20.1" customHeight="1" spans="1:8">
      <c r="A56" s="143"/>
      <c r="B56" s="36"/>
      <c r="C56" s="36"/>
      <c r="D56" s="142"/>
      <c r="E56" s="117" t="s">
        <v>4258</v>
      </c>
      <c r="F56" s="138">
        <f t="shared" ref="F56:F60" si="3">SUM(F57)</f>
        <v>0</v>
      </c>
      <c r="G56" s="138">
        <f t="shared" ref="G56:G60" si="4">SUM(G57)</f>
        <v>0</v>
      </c>
      <c r="H56" s="139"/>
    </row>
    <row r="57" s="92" customFormat="1" ht="20.1" customHeight="1" spans="1:8">
      <c r="A57" s="143"/>
      <c r="B57" s="36"/>
      <c r="C57" s="36"/>
      <c r="D57" s="142"/>
      <c r="E57" s="119" t="s">
        <v>4259</v>
      </c>
      <c r="F57" s="36"/>
      <c r="G57" s="36"/>
      <c r="H57" s="142"/>
    </row>
    <row r="58" s="92" customFormat="1" ht="20.1" customHeight="1" spans="1:8">
      <c r="A58" s="143"/>
      <c r="B58" s="36"/>
      <c r="C58" s="36"/>
      <c r="D58" s="142"/>
      <c r="E58" s="117" t="s">
        <v>4260</v>
      </c>
      <c r="F58" s="138">
        <f t="shared" si="3"/>
        <v>0</v>
      </c>
      <c r="G58" s="138">
        <f t="shared" si="4"/>
        <v>50</v>
      </c>
      <c r="H58" s="139"/>
    </row>
    <row r="59" s="92" customFormat="1" ht="20.1" customHeight="1" spans="1:8">
      <c r="A59" s="143"/>
      <c r="B59" s="36"/>
      <c r="C59" s="36"/>
      <c r="D59" s="142"/>
      <c r="E59" s="119" t="s">
        <v>4261</v>
      </c>
      <c r="F59" s="36"/>
      <c r="G59" s="36">
        <v>50</v>
      </c>
      <c r="H59" s="142"/>
    </row>
    <row r="60" s="92" customFormat="1" ht="20.1" customHeight="1" spans="1:8">
      <c r="A60" s="143"/>
      <c r="B60" s="36"/>
      <c r="C60" s="36"/>
      <c r="D60" s="142"/>
      <c r="E60" s="117" t="s">
        <v>4262</v>
      </c>
      <c r="F60" s="138">
        <f t="shared" si="3"/>
        <v>0</v>
      </c>
      <c r="G60" s="138">
        <f t="shared" si="4"/>
        <v>0</v>
      </c>
      <c r="H60" s="139"/>
    </row>
    <row r="61" s="92" customFormat="1" ht="20.1" customHeight="1" spans="1:8">
      <c r="A61" s="143"/>
      <c r="B61" s="36"/>
      <c r="C61" s="36"/>
      <c r="D61" s="142"/>
      <c r="E61" s="119" t="s">
        <v>4216</v>
      </c>
      <c r="F61" s="36"/>
      <c r="G61" s="36"/>
      <c r="H61" s="142"/>
    </row>
    <row r="62" s="92" customFormat="1" ht="20.1" customHeight="1" spans="1:8">
      <c r="A62" s="143"/>
      <c r="B62" s="36"/>
      <c r="C62" s="36"/>
      <c r="D62" s="142"/>
      <c r="E62" s="117" t="s">
        <v>4263</v>
      </c>
      <c r="F62" s="138">
        <f>SUM(F63)</f>
        <v>0</v>
      </c>
      <c r="G62" s="138">
        <f>SUM(G63)</f>
        <v>0</v>
      </c>
      <c r="H62" s="139"/>
    </row>
    <row r="63" s="92" customFormat="1" ht="20.1" customHeight="1" spans="1:8">
      <c r="A63" s="143"/>
      <c r="B63" s="36"/>
      <c r="C63" s="36"/>
      <c r="D63" s="142"/>
      <c r="E63" s="119" t="s">
        <v>4216</v>
      </c>
      <c r="F63" s="36"/>
      <c r="G63" s="36"/>
      <c r="H63" s="142"/>
    </row>
    <row r="64" s="92" customFormat="1" ht="20.1" customHeight="1" spans="1:8">
      <c r="A64" s="143"/>
      <c r="B64" s="36"/>
      <c r="C64" s="36"/>
      <c r="D64" s="142"/>
      <c r="E64" s="117" t="s">
        <v>4264</v>
      </c>
      <c r="F64" s="138">
        <f>SUM(F65)</f>
        <v>0</v>
      </c>
      <c r="G64" s="138">
        <f>SUM(G65)</f>
        <v>0</v>
      </c>
      <c r="H64" s="139"/>
    </row>
    <row r="65" s="92" customFormat="1" ht="20.1" customHeight="1" spans="1:8">
      <c r="A65" s="143"/>
      <c r="B65" s="36"/>
      <c r="C65" s="36"/>
      <c r="D65" s="142"/>
      <c r="E65" s="119" t="s">
        <v>4216</v>
      </c>
      <c r="F65" s="36"/>
      <c r="G65" s="36"/>
      <c r="H65" s="142"/>
    </row>
    <row r="66" s="92" customFormat="1" ht="20.1" customHeight="1" spans="1:8">
      <c r="A66" s="143"/>
      <c r="B66" s="36"/>
      <c r="C66" s="36"/>
      <c r="D66" s="142"/>
      <c r="E66" s="117" t="s">
        <v>4265</v>
      </c>
      <c r="F66" s="138">
        <f>SUM(F67:F72)</f>
        <v>1615</v>
      </c>
      <c r="G66" s="138">
        <f>SUM(G67:G72)</f>
        <v>1891</v>
      </c>
      <c r="H66" s="139">
        <f t="shared" ref="H66:H71" si="5">G66/F66</f>
        <v>1.1709</v>
      </c>
    </row>
    <row r="67" s="92" customFormat="1" ht="20.1" customHeight="1" spans="1:8">
      <c r="A67" s="143"/>
      <c r="B67" s="36"/>
      <c r="C67" s="36"/>
      <c r="D67" s="142"/>
      <c r="E67" s="119" t="s">
        <v>4266</v>
      </c>
      <c r="F67" s="36">
        <v>1100</v>
      </c>
      <c r="G67" s="36">
        <v>565</v>
      </c>
      <c r="H67" s="142">
        <f t="shared" si="5"/>
        <v>0.5136</v>
      </c>
    </row>
    <row r="68" s="92" customFormat="1" ht="20.1" customHeight="1" spans="1:8">
      <c r="A68" s="143"/>
      <c r="B68" s="36"/>
      <c r="C68" s="36"/>
      <c r="D68" s="142"/>
      <c r="E68" s="119" t="s">
        <v>4267</v>
      </c>
      <c r="F68" s="36"/>
      <c r="G68" s="36"/>
      <c r="H68" s="142"/>
    </row>
    <row r="69" s="92" customFormat="1" ht="20.1" customHeight="1" spans="1:8">
      <c r="A69" s="143"/>
      <c r="B69" s="36"/>
      <c r="C69" s="36"/>
      <c r="D69" s="142"/>
      <c r="E69" s="119" t="s">
        <v>4268</v>
      </c>
      <c r="F69" s="36"/>
      <c r="G69" s="36"/>
      <c r="H69" s="142"/>
    </row>
    <row r="70" s="92" customFormat="1" ht="20.1" customHeight="1" spans="1:8">
      <c r="A70" s="143"/>
      <c r="B70" s="36"/>
      <c r="C70" s="36"/>
      <c r="D70" s="142"/>
      <c r="E70" s="119" t="s">
        <v>4269</v>
      </c>
      <c r="F70" s="36"/>
      <c r="G70" s="36"/>
      <c r="H70" s="142"/>
    </row>
    <row r="71" s="92" customFormat="1" ht="20.1" customHeight="1" spans="1:8">
      <c r="A71" s="143"/>
      <c r="B71" s="36"/>
      <c r="C71" s="36"/>
      <c r="D71" s="142"/>
      <c r="E71" s="119" t="s">
        <v>4270</v>
      </c>
      <c r="F71" s="36">
        <v>515</v>
      </c>
      <c r="G71" s="36">
        <v>1326</v>
      </c>
      <c r="H71" s="142">
        <f t="shared" si="5"/>
        <v>2.5748</v>
      </c>
    </row>
    <row r="72" s="92" customFormat="1" ht="20.1" customHeight="1" spans="1:8">
      <c r="A72" s="143"/>
      <c r="B72" s="36"/>
      <c r="C72" s="36"/>
      <c r="D72" s="142"/>
      <c r="E72" s="119" t="s">
        <v>4271</v>
      </c>
      <c r="F72" s="36"/>
      <c r="G72" s="36"/>
      <c r="H72" s="142"/>
    </row>
    <row r="73" s="92" customFormat="1" ht="20.1" customHeight="1" spans="1:8">
      <c r="A73" s="143"/>
      <c r="B73" s="36"/>
      <c r="C73" s="36"/>
      <c r="D73" s="142"/>
      <c r="E73" s="117" t="s">
        <v>4272</v>
      </c>
      <c r="F73" s="138">
        <f>SUM(F74)</f>
        <v>939</v>
      </c>
      <c r="G73" s="138">
        <f>SUM(G74)</f>
        <v>1973</v>
      </c>
      <c r="H73" s="139">
        <f t="shared" ref="H73:H76" si="6">G73/F73</f>
        <v>2.1012</v>
      </c>
    </row>
    <row r="74" s="92" customFormat="1" ht="20.1" customHeight="1" spans="1:8">
      <c r="A74" s="143"/>
      <c r="B74" s="36"/>
      <c r="C74" s="36"/>
      <c r="D74" s="142"/>
      <c r="E74" s="119" t="s">
        <v>4273</v>
      </c>
      <c r="F74" s="36">
        <v>939</v>
      </c>
      <c r="G74" s="36">
        <v>1973</v>
      </c>
      <c r="H74" s="142">
        <f t="shared" si="6"/>
        <v>2.1012</v>
      </c>
    </row>
    <row r="75" s="92" customFormat="1" ht="20.1" customHeight="1" spans="1:8">
      <c r="A75" s="143"/>
      <c r="B75" s="36"/>
      <c r="C75" s="36"/>
      <c r="D75" s="142"/>
      <c r="E75" s="117" t="s">
        <v>4274</v>
      </c>
      <c r="F75" s="138">
        <f>SUM(F76)</f>
        <v>19</v>
      </c>
      <c r="G75" s="138">
        <f>SUM(G76)</f>
        <v>0</v>
      </c>
      <c r="H75" s="139">
        <f t="shared" si="6"/>
        <v>0</v>
      </c>
    </row>
    <row r="76" s="92" customFormat="1" ht="20.1" customHeight="1" spans="1:8">
      <c r="A76" s="143"/>
      <c r="B76" s="36"/>
      <c r="C76" s="36"/>
      <c r="D76" s="142"/>
      <c r="E76" s="119" t="s">
        <v>4275</v>
      </c>
      <c r="F76" s="36">
        <v>19</v>
      </c>
      <c r="G76" s="36"/>
      <c r="H76" s="142">
        <f t="shared" si="6"/>
        <v>0</v>
      </c>
    </row>
    <row r="77" s="92" customFormat="1" ht="20.1" customHeight="1" spans="1:8">
      <c r="A77" s="143"/>
      <c r="B77" s="36"/>
      <c r="C77" s="36"/>
      <c r="D77" s="142"/>
      <c r="E77" s="117" t="s">
        <v>4276</v>
      </c>
      <c r="F77" s="138">
        <f>SUM(F78:F79)</f>
        <v>0</v>
      </c>
      <c r="G77" s="138">
        <f>SUM(G78:G79)</f>
        <v>0</v>
      </c>
      <c r="H77" s="139"/>
    </row>
    <row r="78" s="92" customFormat="1" ht="20.1" customHeight="1" spans="1:8">
      <c r="A78" s="143"/>
      <c r="B78" s="36"/>
      <c r="C78" s="36"/>
      <c r="D78" s="142"/>
      <c r="E78" s="119" t="s">
        <v>4277</v>
      </c>
      <c r="F78" s="36"/>
      <c r="G78" s="36"/>
      <c r="H78" s="142"/>
    </row>
    <row r="79" s="92" customFormat="1" ht="20.1" customHeight="1" spans="1:8">
      <c r="A79" s="143"/>
      <c r="B79" s="36"/>
      <c r="C79" s="36"/>
      <c r="D79" s="142"/>
      <c r="E79" s="119" t="s">
        <v>4278</v>
      </c>
      <c r="F79" s="36"/>
      <c r="G79" s="36"/>
      <c r="H79" s="142"/>
    </row>
    <row r="80" s="92" customFormat="1" ht="20.1" customHeight="1" spans="1:8">
      <c r="A80" s="143"/>
      <c r="B80" s="36"/>
      <c r="C80" s="36"/>
      <c r="D80" s="142"/>
      <c r="E80" s="122"/>
      <c r="F80" s="36"/>
      <c r="G80" s="36"/>
      <c r="H80" s="142"/>
    </row>
    <row r="81" s="92" customFormat="1" ht="20.1" customHeight="1" spans="1:8">
      <c r="A81" s="143"/>
      <c r="B81" s="36"/>
      <c r="C81" s="36"/>
      <c r="D81" s="142"/>
      <c r="E81" s="122"/>
      <c r="F81" s="36"/>
      <c r="G81" s="36"/>
      <c r="H81" s="142"/>
    </row>
    <row r="82" s="93" customFormat="1" ht="20.1" customHeight="1" spans="1:8">
      <c r="A82" s="123" t="s">
        <v>81</v>
      </c>
      <c r="B82" s="124">
        <f>B35+B5</f>
        <v>5596</v>
      </c>
      <c r="C82" s="124">
        <f>C35+C5</f>
        <v>23600</v>
      </c>
      <c r="D82" s="144">
        <f t="shared" ref="D82:D96" si="7">C82/B82</f>
        <v>4.2173</v>
      </c>
      <c r="E82" s="123" t="s">
        <v>433</v>
      </c>
      <c r="F82" s="124">
        <f>F5+F7+F10+F15+F17+F21+F33+F43+F53+F56+F58+F60+F62+F64+F66+F73+F75+F77</f>
        <v>18634</v>
      </c>
      <c r="G82" s="124">
        <f>G5+G7+G10+G15+G17+G21+G33+G43+G53+G56+G58+G60+G62+G64+G66+G73+G75+G77</f>
        <v>33495</v>
      </c>
      <c r="H82" s="144">
        <f>G82/F82</f>
        <v>1.7975</v>
      </c>
    </row>
    <row r="83" s="92" customFormat="1" ht="20.1" customHeight="1" spans="1:8">
      <c r="A83" s="145" t="s">
        <v>4285</v>
      </c>
      <c r="B83" s="138">
        <f>SUM(B84:B86)</f>
        <v>0</v>
      </c>
      <c r="C83" s="138">
        <f>SUM(C84:C86)</f>
        <v>0</v>
      </c>
      <c r="D83" s="139" t="e">
        <f t="shared" si="7"/>
        <v>#DIV/0!</v>
      </c>
      <c r="E83" s="117" t="s">
        <v>95</v>
      </c>
      <c r="F83" s="138">
        <f>SUM(F84:F89)</f>
        <v>20236</v>
      </c>
      <c r="G83" s="138">
        <f>SUM(G84:G89)</f>
        <v>11463</v>
      </c>
      <c r="H83" s="139">
        <f>G83/F83</f>
        <v>0.5665</v>
      </c>
    </row>
    <row r="84" s="92" customFormat="1" ht="20.1" customHeight="1" spans="1:8">
      <c r="A84" s="121" t="s">
        <v>4286</v>
      </c>
      <c r="B84" s="36"/>
      <c r="C84" s="36"/>
      <c r="D84" s="142" t="e">
        <f t="shared" si="7"/>
        <v>#DIV/0!</v>
      </c>
      <c r="E84" s="121" t="s">
        <v>4279</v>
      </c>
      <c r="F84" s="36"/>
      <c r="G84" s="36"/>
      <c r="H84" s="142"/>
    </row>
    <row r="85" s="92" customFormat="1" ht="20.1" customHeight="1" spans="1:8">
      <c r="A85" s="121" t="s">
        <v>4287</v>
      </c>
      <c r="B85" s="36"/>
      <c r="C85" s="36"/>
      <c r="D85" s="142" t="e">
        <f t="shared" si="7"/>
        <v>#DIV/0!</v>
      </c>
      <c r="E85" s="121" t="s">
        <v>4280</v>
      </c>
      <c r="F85" s="36"/>
      <c r="G85" s="36"/>
      <c r="H85" s="142"/>
    </row>
    <row r="86" s="92" customFormat="1" ht="20.1" customHeight="1" spans="1:8">
      <c r="A86" s="121" t="s">
        <v>4287</v>
      </c>
      <c r="B86" s="36"/>
      <c r="C86" s="36"/>
      <c r="D86" s="142" t="e">
        <f t="shared" si="7"/>
        <v>#DIV/0!</v>
      </c>
      <c r="E86" s="121" t="s">
        <v>191</v>
      </c>
      <c r="F86" s="36"/>
      <c r="G86" s="36">
        <v>11463</v>
      </c>
      <c r="H86" s="142"/>
    </row>
    <row r="87" s="92" customFormat="1" ht="20.1" customHeight="1" spans="1:8">
      <c r="A87" s="145" t="s">
        <v>94</v>
      </c>
      <c r="B87" s="138">
        <f>SUM(B88:B94)</f>
        <v>41697</v>
      </c>
      <c r="C87" s="138">
        <f>SUM(C88:C94)</f>
        <v>21358</v>
      </c>
      <c r="D87" s="139">
        <f t="shared" si="7"/>
        <v>0.5122</v>
      </c>
      <c r="E87" s="121" t="s">
        <v>210</v>
      </c>
      <c r="F87" s="36">
        <v>20236</v>
      </c>
      <c r="G87" s="36"/>
      <c r="H87" s="142"/>
    </row>
    <row r="88" s="92" customFormat="1" ht="20.1" customHeight="1" spans="1:8">
      <c r="A88" s="119" t="s">
        <v>4288</v>
      </c>
      <c r="B88" s="36">
        <v>2529</v>
      </c>
      <c r="C88" s="36">
        <v>1122</v>
      </c>
      <c r="D88" s="142">
        <f t="shared" si="7"/>
        <v>0.4437</v>
      </c>
      <c r="E88" s="121" t="s">
        <v>4281</v>
      </c>
      <c r="F88" s="36"/>
      <c r="G88" s="36"/>
      <c r="H88" s="142"/>
    </row>
    <row r="89" s="92" customFormat="1" ht="20.1" customHeight="1" spans="1:8">
      <c r="A89" s="119" t="s">
        <v>4289</v>
      </c>
      <c r="B89" s="36"/>
      <c r="C89" s="36"/>
      <c r="D89" s="142" t="e">
        <f t="shared" si="7"/>
        <v>#DIV/0!</v>
      </c>
      <c r="E89" s="121" t="s">
        <v>4282</v>
      </c>
      <c r="F89" s="36"/>
      <c r="G89" s="36"/>
      <c r="H89" s="142"/>
    </row>
    <row r="90" s="92" customFormat="1" ht="20.1" customHeight="1" spans="1:8">
      <c r="A90" s="119" t="s">
        <v>209</v>
      </c>
      <c r="B90" s="36">
        <v>20219</v>
      </c>
      <c r="C90" s="36">
        <v>20236</v>
      </c>
      <c r="D90" s="142">
        <f t="shared" si="7"/>
        <v>1.0008</v>
      </c>
      <c r="E90" s="117" t="s">
        <v>955</v>
      </c>
      <c r="F90" s="138">
        <f>SUM(F91:F93)</f>
        <v>8423</v>
      </c>
      <c r="G90" s="138">
        <f>SUM(G91:G93)</f>
        <v>0</v>
      </c>
      <c r="H90" s="139">
        <f>G90/F90</f>
        <v>0</v>
      </c>
    </row>
    <row r="91" s="92" customFormat="1" ht="20.1" customHeight="1" spans="1:8">
      <c r="A91" s="119" t="s">
        <v>4290</v>
      </c>
      <c r="B91" s="36"/>
      <c r="C91" s="36"/>
      <c r="D91" s="142" t="e">
        <f t="shared" si="7"/>
        <v>#DIV/0!</v>
      </c>
      <c r="E91" s="119" t="s">
        <v>956</v>
      </c>
      <c r="F91" s="36">
        <v>8423</v>
      </c>
      <c r="G91" s="36"/>
      <c r="H91" s="142">
        <f>G91/F91</f>
        <v>0</v>
      </c>
    </row>
    <row r="92" s="92" customFormat="1" ht="20.1" customHeight="1" spans="1:8">
      <c r="A92" s="146" t="s">
        <v>4291</v>
      </c>
      <c r="B92" s="36">
        <v>18949</v>
      </c>
      <c r="C92" s="36"/>
      <c r="D92" s="142">
        <f t="shared" si="7"/>
        <v>0</v>
      </c>
      <c r="E92" s="119" t="s">
        <v>957</v>
      </c>
      <c r="F92" s="36"/>
      <c r="G92" s="36"/>
      <c r="H92" s="142"/>
    </row>
    <row r="93" s="92" customFormat="1" ht="20.1" customHeight="1" spans="1:8">
      <c r="A93" s="146" t="s">
        <v>4292</v>
      </c>
      <c r="B93" s="36"/>
      <c r="C93" s="36"/>
      <c r="D93" s="142" t="e">
        <f t="shared" si="7"/>
        <v>#DIV/0!</v>
      </c>
      <c r="E93" s="119" t="s">
        <v>4283</v>
      </c>
      <c r="F93" s="36"/>
      <c r="G93" s="36"/>
      <c r="H93" s="142"/>
    </row>
    <row r="94" s="92" customFormat="1" ht="20.1" customHeight="1" spans="1:8">
      <c r="A94" s="146" t="s">
        <v>4292</v>
      </c>
      <c r="B94" s="36"/>
      <c r="C94" s="36"/>
      <c r="D94" s="142" t="e">
        <f t="shared" si="7"/>
        <v>#DIV/0!</v>
      </c>
      <c r="E94" s="36"/>
      <c r="F94" s="36"/>
      <c r="G94" s="36"/>
      <c r="H94" s="142"/>
    </row>
    <row r="95" s="92" customFormat="1" ht="20.1" customHeight="1" spans="1:8">
      <c r="A95" s="36"/>
      <c r="B95" s="36"/>
      <c r="C95" s="36"/>
      <c r="D95" s="142" t="e">
        <f t="shared" si="7"/>
        <v>#DIV/0!</v>
      </c>
      <c r="E95" s="36"/>
      <c r="F95" s="36"/>
      <c r="G95" s="36"/>
      <c r="H95" s="142"/>
    </row>
    <row r="96" s="92" customFormat="1" ht="20.1" customHeight="1" spans="1:8">
      <c r="A96" s="123" t="s">
        <v>214</v>
      </c>
      <c r="B96" s="36">
        <f>B82+B83+B87</f>
        <v>47293</v>
      </c>
      <c r="C96" s="36">
        <f>C82+C83+C87</f>
        <v>44958</v>
      </c>
      <c r="D96" s="142">
        <f t="shared" si="7"/>
        <v>0.9506</v>
      </c>
      <c r="E96" s="123" t="s">
        <v>215</v>
      </c>
      <c r="F96" s="36">
        <f>F82+F83+F90</f>
        <v>47293</v>
      </c>
      <c r="G96" s="36">
        <f>G82+G83+G90</f>
        <v>44958</v>
      </c>
      <c r="H96" s="142">
        <f>G96/F96</f>
        <v>0.9506</v>
      </c>
    </row>
    <row r="97" s="125" customFormat="1" ht="20.1" customHeight="1" spans="8:8">
      <c r="H97" s="127"/>
    </row>
    <row r="98" s="125" customFormat="1" ht="20.1" customHeight="1" spans="8:8">
      <c r="H98" s="127"/>
    </row>
    <row r="99" s="125" customFormat="1" ht="20.1" customHeight="1" spans="8:8">
      <c r="H99" s="127"/>
    </row>
    <row r="100" s="125" customFormat="1" ht="20.1" customHeight="1" spans="8:8">
      <c r="H100" s="127"/>
    </row>
    <row r="101" s="125" customFormat="1" ht="20.1" customHeight="1" spans="8:8">
      <c r="H101" s="127"/>
    </row>
    <row r="102" s="125" customFormat="1" ht="20.1" customHeight="1" spans="8:8">
      <c r="H102" s="127"/>
    </row>
    <row r="103" s="125" customFormat="1" ht="20.1" customHeight="1" spans="8:8">
      <c r="H103" s="127"/>
    </row>
    <row r="104" s="125" customFormat="1" ht="20.1" customHeight="1" spans="8:8">
      <c r="H104" s="127"/>
    </row>
    <row r="105" s="125" customFormat="1" ht="20.1" customHeight="1" spans="8:8">
      <c r="H105" s="127"/>
    </row>
    <row r="106" s="125" customFormat="1" ht="20.1" customHeight="1" spans="8:8">
      <c r="H106" s="127"/>
    </row>
    <row r="107" s="125" customFormat="1" ht="20.1" customHeight="1" spans="8:8">
      <c r="H107" s="127"/>
    </row>
    <row r="108" s="125" customFormat="1" ht="20.1" customHeight="1" spans="8:8">
      <c r="H108" s="127"/>
    </row>
    <row r="109" s="125" customFormat="1" ht="20.1" customHeight="1" spans="8:8">
      <c r="H109" s="127"/>
    </row>
    <row r="110" s="125" customFormat="1" ht="20.1" customHeight="1" spans="8:8">
      <c r="H110" s="127"/>
    </row>
    <row r="111" s="125" customFormat="1" ht="20.1" customHeight="1" spans="8:8">
      <c r="H111" s="127"/>
    </row>
    <row r="112" s="125" customFormat="1" spans="8:8">
      <c r="H112" s="127"/>
    </row>
    <row r="113" s="125" customFormat="1" spans="8:8">
      <c r="H113" s="127"/>
    </row>
    <row r="114" s="125" customFormat="1" spans="8:8">
      <c r="H114" s="127"/>
    </row>
    <row r="115" s="125" customFormat="1" spans="8:8">
      <c r="H115" s="127"/>
    </row>
    <row r="116" s="125" customFormat="1" spans="8:8">
      <c r="H116" s="127"/>
    </row>
    <row r="117" s="125" customFormat="1" spans="8:8">
      <c r="H117" s="127"/>
    </row>
    <row r="118" s="125" customFormat="1" spans="8:8">
      <c r="H118" s="127"/>
    </row>
    <row r="119" s="125" customFormat="1" spans="8:8">
      <c r="H119" s="127"/>
    </row>
    <row r="120" s="125" customFormat="1" spans="8:8">
      <c r="H120" s="127"/>
    </row>
    <row r="121" s="125" customFormat="1" spans="8:8">
      <c r="H121" s="127"/>
    </row>
    <row r="122" s="125" customFormat="1" spans="8:8">
      <c r="H122" s="127"/>
    </row>
    <row r="123" s="125" customFormat="1" spans="8:8">
      <c r="H123" s="127"/>
    </row>
    <row r="124" s="125" customFormat="1" spans="8:8">
      <c r="H124" s="127"/>
    </row>
    <row r="125" s="125" customFormat="1" spans="8:8">
      <c r="H125" s="127"/>
    </row>
    <row r="126" s="125" customFormat="1" spans="8:8">
      <c r="H126" s="127"/>
    </row>
    <row r="127" s="125" customFormat="1" spans="8:8">
      <c r="H127" s="127"/>
    </row>
    <row r="128" s="125" customFormat="1" spans="8:8">
      <c r="H128" s="127"/>
    </row>
    <row r="129" s="125" customFormat="1" spans="8:8">
      <c r="H129" s="127"/>
    </row>
    <row r="130" s="125" customFormat="1" spans="8:8">
      <c r="H130" s="127"/>
    </row>
    <row r="131" s="125" customFormat="1" spans="8:8">
      <c r="H131" s="127"/>
    </row>
    <row r="132" s="125" customFormat="1" spans="8:8">
      <c r="H132" s="127"/>
    </row>
    <row r="133" s="125" customFormat="1" spans="8:8">
      <c r="H133" s="127"/>
    </row>
    <row r="134" s="125" customFormat="1" spans="8:8">
      <c r="H134" s="127"/>
    </row>
    <row r="135" s="125" customFormat="1" spans="8:8">
      <c r="H135" s="127"/>
    </row>
    <row r="136" s="125" customFormat="1" spans="8:8">
      <c r="H136" s="127"/>
    </row>
    <row r="137" s="125" customFormat="1" spans="8:8">
      <c r="H137" s="127"/>
    </row>
    <row r="138" s="125" customFormat="1" spans="8:8">
      <c r="H138" s="127"/>
    </row>
    <row r="139" s="125" customFormat="1" spans="8:8">
      <c r="H139" s="127"/>
    </row>
    <row r="140" s="125" customFormat="1" spans="8:8">
      <c r="H140" s="127"/>
    </row>
    <row r="141" s="125" customFormat="1" spans="8:8">
      <c r="H141" s="127"/>
    </row>
    <row r="142" s="125" customFormat="1" spans="8:8">
      <c r="H142" s="127"/>
    </row>
    <row r="143" s="125" customFormat="1" spans="8:8">
      <c r="H143" s="127"/>
    </row>
    <row r="144" s="125" customFormat="1" spans="8:8">
      <c r="H144" s="127"/>
    </row>
    <row r="145" s="125" customFormat="1" spans="8:8">
      <c r="H145" s="127"/>
    </row>
    <row r="146" s="125" customFormat="1" spans="8:8">
      <c r="H146" s="127"/>
    </row>
    <row r="147" s="125" customFormat="1" spans="8:8">
      <c r="H147" s="127"/>
    </row>
    <row r="148" s="125" customFormat="1" spans="8:8">
      <c r="H148" s="127"/>
    </row>
    <row r="149" s="125" customFormat="1" spans="8:8">
      <c r="H149" s="127"/>
    </row>
    <row r="150" s="125" customFormat="1" spans="8:8">
      <c r="H150" s="127"/>
    </row>
    <row r="151" s="125" customFormat="1" spans="8:8">
      <c r="H151" s="127"/>
    </row>
    <row r="152" s="125" customFormat="1" spans="8:8">
      <c r="H152" s="127"/>
    </row>
    <row r="153" s="125" customFormat="1" spans="8:8">
      <c r="H153" s="127"/>
    </row>
    <row r="154" s="125" customFormat="1" spans="8:8">
      <c r="H154" s="127"/>
    </row>
    <row r="155" s="125" customFormat="1" spans="8:8">
      <c r="H155" s="127"/>
    </row>
    <row r="156" s="125" customFormat="1" spans="8:8">
      <c r="H156" s="127"/>
    </row>
    <row r="157" s="125" customFormat="1" spans="8:8">
      <c r="H157" s="127"/>
    </row>
    <row r="158" s="125" customFormat="1" spans="8:8">
      <c r="H158" s="127"/>
    </row>
    <row r="159" s="125" customFormat="1" spans="8:8">
      <c r="H159" s="127"/>
    </row>
    <row r="160" s="125" customFormat="1" spans="8:8">
      <c r="H160" s="127"/>
    </row>
    <row r="161" s="125" customFormat="1" spans="8:8">
      <c r="H161" s="127"/>
    </row>
    <row r="162" s="125" customFormat="1" spans="8:8">
      <c r="H162" s="127"/>
    </row>
    <row r="163" s="125" customFormat="1" spans="8:8">
      <c r="H163" s="127"/>
    </row>
    <row r="164" s="125" customFormat="1" spans="8:8">
      <c r="H164" s="127"/>
    </row>
    <row r="165" s="125" customFormat="1" spans="8:8">
      <c r="H165" s="127"/>
    </row>
    <row r="166" s="125" customFormat="1" spans="8:8">
      <c r="H166" s="127"/>
    </row>
    <row r="167" s="125" customFormat="1" spans="8:8">
      <c r="H167" s="127"/>
    </row>
    <row r="168" s="125" customFormat="1" spans="8:8">
      <c r="H168" s="127"/>
    </row>
    <row r="169" s="125" customFormat="1" spans="8:8">
      <c r="H169" s="127"/>
    </row>
    <row r="170" s="125" customFormat="1" spans="8:8">
      <c r="H170" s="127"/>
    </row>
    <row r="171" s="125" customFormat="1" spans="8:8">
      <c r="H171" s="127"/>
    </row>
    <row r="172" s="125" customFormat="1" spans="8:8">
      <c r="H172" s="127"/>
    </row>
    <row r="173" s="125" customFormat="1" spans="8:8">
      <c r="H173" s="127"/>
    </row>
    <row r="174" s="125" customFormat="1" spans="8:8">
      <c r="H174" s="127"/>
    </row>
    <row r="175" s="125" customFormat="1" spans="8:8">
      <c r="H175" s="127"/>
    </row>
    <row r="176" s="125" customFormat="1" spans="8:8">
      <c r="H176" s="127"/>
    </row>
    <row r="177" s="125" customFormat="1" spans="8:8">
      <c r="H177" s="127"/>
    </row>
    <row r="178" s="125" customFormat="1" spans="8:8">
      <c r="H178" s="127"/>
    </row>
    <row r="179" s="125" customFormat="1" spans="8:8">
      <c r="H179" s="127"/>
    </row>
    <row r="180" s="125" customFormat="1" spans="8:8">
      <c r="H180" s="127"/>
    </row>
    <row r="181" s="125" customFormat="1" spans="8:8">
      <c r="H181" s="127"/>
    </row>
    <row r="182" s="125" customFormat="1" spans="8:8">
      <c r="H182" s="127"/>
    </row>
    <row r="183" s="125" customFormat="1" spans="8:8">
      <c r="H183" s="127"/>
    </row>
    <row r="184" s="125" customFormat="1" spans="8:8">
      <c r="H184" s="127"/>
    </row>
    <row r="185" s="125" customFormat="1" spans="8:8">
      <c r="H185" s="127"/>
    </row>
    <row r="186" s="125" customFormat="1" spans="8:8">
      <c r="H186" s="127"/>
    </row>
    <row r="187" s="125" customFormat="1" spans="8:8">
      <c r="H187" s="127"/>
    </row>
    <row r="188" s="125" customFormat="1" spans="8:8">
      <c r="H188" s="127"/>
    </row>
    <row r="189" s="125" customFormat="1" spans="8:8">
      <c r="H189" s="127"/>
    </row>
    <row r="190" s="125" customFormat="1" spans="8:8">
      <c r="H190" s="127"/>
    </row>
    <row r="191" s="125" customFormat="1" spans="8:8">
      <c r="H191" s="127"/>
    </row>
    <row r="192" s="125" customFormat="1" spans="8:8">
      <c r="H192" s="127"/>
    </row>
    <row r="193" s="125" customFormat="1" spans="8:8">
      <c r="H193" s="127"/>
    </row>
    <row r="194" s="125" customFormat="1" spans="8:8">
      <c r="H194" s="127"/>
    </row>
    <row r="195" s="125" customFormat="1" spans="8:8">
      <c r="H195" s="127"/>
    </row>
    <row r="196" s="125" customFormat="1" spans="8:8">
      <c r="H196" s="127"/>
    </row>
    <row r="197" s="125" customFormat="1" spans="8:8">
      <c r="H197" s="127"/>
    </row>
    <row r="198" s="125" customFormat="1" spans="8:8">
      <c r="H198" s="127"/>
    </row>
    <row r="199" s="125" customFormat="1" spans="8:8">
      <c r="H199" s="127"/>
    </row>
    <row r="200" s="125" customFormat="1" spans="8:8">
      <c r="H200" s="127"/>
    </row>
    <row r="201" s="125" customFormat="1" spans="8:8">
      <c r="H201" s="127"/>
    </row>
    <row r="202" s="125" customFormat="1" spans="8:8">
      <c r="H202" s="127"/>
    </row>
    <row r="203" s="125" customFormat="1" spans="8:8">
      <c r="H203" s="127"/>
    </row>
    <row r="204" s="125" customFormat="1" spans="8:8">
      <c r="H204" s="127"/>
    </row>
    <row r="205" s="125" customFormat="1" spans="8:8">
      <c r="H205" s="127"/>
    </row>
    <row r="206" s="125" customFormat="1" spans="8:8">
      <c r="H206" s="127"/>
    </row>
    <row r="207" s="125" customFormat="1" spans="8:8">
      <c r="H207" s="127"/>
    </row>
    <row r="208" s="125" customFormat="1" spans="8:8">
      <c r="H208" s="127"/>
    </row>
    <row r="209" s="125" customFormat="1" spans="8:8">
      <c r="H209" s="127"/>
    </row>
    <row r="210" s="125" customFormat="1" spans="8:8">
      <c r="H210" s="127"/>
    </row>
    <row r="211" s="125" customFormat="1" spans="8:8">
      <c r="H211" s="127"/>
    </row>
    <row r="212" s="125" customFormat="1" spans="8:8">
      <c r="H212" s="127"/>
    </row>
    <row r="213" s="125" customFormat="1" spans="8:8">
      <c r="H213" s="127"/>
    </row>
    <row r="214" s="125" customFormat="1" spans="8:8">
      <c r="H214" s="127"/>
    </row>
    <row r="215" s="125" customFormat="1" spans="8:8">
      <c r="H215" s="127"/>
    </row>
    <row r="216" s="125" customFormat="1" spans="8:8">
      <c r="H216" s="127"/>
    </row>
    <row r="217" s="125" customFormat="1" spans="8:8">
      <c r="H217" s="127"/>
    </row>
    <row r="218" s="125" customFormat="1" spans="8:8">
      <c r="H218" s="127"/>
    </row>
    <row r="219" s="125" customFormat="1" spans="8:8">
      <c r="H219" s="127"/>
    </row>
    <row r="220" s="125" customFormat="1" spans="8:8">
      <c r="H220" s="127"/>
    </row>
    <row r="221" s="125" customFormat="1" spans="8:8">
      <c r="H221" s="127"/>
    </row>
    <row r="222" s="125" customFormat="1" spans="8:8">
      <c r="H222" s="127"/>
    </row>
    <row r="223" s="125" customFormat="1" spans="8:8">
      <c r="H223" s="127"/>
    </row>
    <row r="224" s="125" customFormat="1" spans="8:8">
      <c r="H224" s="127"/>
    </row>
    <row r="225" s="125" customFormat="1" spans="8:8">
      <c r="H225" s="127"/>
    </row>
    <row r="226" s="125" customFormat="1" spans="8:8">
      <c r="H226" s="127"/>
    </row>
    <row r="227" s="125" customFormat="1" spans="8:8">
      <c r="H227" s="127"/>
    </row>
    <row r="228" s="125" customFormat="1" spans="8:8">
      <c r="H228" s="127"/>
    </row>
    <row r="229" s="125" customFormat="1" spans="8:8">
      <c r="H229" s="127"/>
    </row>
    <row r="230" s="125" customFormat="1" spans="8:8">
      <c r="H230" s="127"/>
    </row>
    <row r="231" s="125" customFormat="1" spans="8:8">
      <c r="H231" s="127"/>
    </row>
    <row r="232" s="125" customFormat="1" spans="8:8">
      <c r="H232" s="127"/>
    </row>
    <row r="233" s="125" customFormat="1" spans="8:8">
      <c r="H233" s="127"/>
    </row>
    <row r="234" s="125" customFormat="1" spans="8:8">
      <c r="H234" s="127"/>
    </row>
    <row r="235" s="125" customFormat="1" spans="8:8">
      <c r="H235" s="127"/>
    </row>
    <row r="236" s="125" customFormat="1" spans="8:8">
      <c r="H236" s="127"/>
    </row>
    <row r="237" s="125" customFormat="1" spans="8:8">
      <c r="H237" s="127"/>
    </row>
    <row r="238" s="125" customFormat="1" spans="8:8">
      <c r="H238" s="127"/>
    </row>
    <row r="239" s="125" customFormat="1" spans="8:8">
      <c r="H239" s="127"/>
    </row>
    <row r="240" s="125" customFormat="1" spans="8:8">
      <c r="H240" s="127"/>
    </row>
    <row r="241" s="125" customFormat="1" spans="8:8">
      <c r="H241" s="127"/>
    </row>
    <row r="242" s="125" customFormat="1" spans="8:8">
      <c r="H242" s="127"/>
    </row>
    <row r="243" s="125" customFormat="1" spans="8:8">
      <c r="H243" s="127"/>
    </row>
    <row r="244" s="125" customFormat="1" spans="8:8">
      <c r="H244" s="127"/>
    </row>
    <row r="245" s="125" customFormat="1" spans="8:8">
      <c r="H245" s="127"/>
    </row>
    <row r="246" s="125" customFormat="1" spans="8:8">
      <c r="H246" s="127"/>
    </row>
    <row r="247" s="125" customFormat="1" spans="8:8">
      <c r="H247" s="127"/>
    </row>
    <row r="248" s="125" customFormat="1" spans="8:8">
      <c r="H248" s="127"/>
    </row>
    <row r="249" s="125" customFormat="1" spans="8:8">
      <c r="H249" s="127"/>
    </row>
    <row r="250" s="125" customFormat="1" spans="8:8">
      <c r="H250" s="127"/>
    </row>
    <row r="251" s="125" customFormat="1" spans="8:8">
      <c r="H251" s="127"/>
    </row>
    <row r="252" s="125" customFormat="1" spans="8:8">
      <c r="H252" s="127"/>
    </row>
    <row r="253" s="125" customFormat="1" spans="8:8">
      <c r="H253" s="127"/>
    </row>
    <row r="254" s="125" customFormat="1" spans="8:8">
      <c r="H254" s="127"/>
    </row>
    <row r="255" s="125" customFormat="1" spans="8:8">
      <c r="H255" s="127"/>
    </row>
    <row r="256" s="125" customFormat="1" spans="8:8">
      <c r="H256" s="127"/>
    </row>
    <row r="257" s="125" customFormat="1" spans="8:8">
      <c r="H257" s="127"/>
    </row>
    <row r="258" s="125" customFormat="1" spans="8:8">
      <c r="H258" s="127"/>
    </row>
    <row r="259" s="125" customFormat="1" spans="8:8">
      <c r="H259" s="127"/>
    </row>
    <row r="260" s="125" customFormat="1" spans="8:8">
      <c r="H260" s="127"/>
    </row>
    <row r="261" s="125" customFormat="1" spans="8:8">
      <c r="H261" s="127"/>
    </row>
    <row r="262" s="125" customFormat="1" spans="8:8">
      <c r="H262" s="127"/>
    </row>
    <row r="263" s="125" customFormat="1" spans="8:8">
      <c r="H263" s="127"/>
    </row>
    <row r="264" s="125" customFormat="1" spans="8:8">
      <c r="H264" s="127"/>
    </row>
    <row r="265" s="125" customFormat="1" spans="8:8">
      <c r="H265" s="127"/>
    </row>
    <row r="266" s="125" customFormat="1" spans="8:8">
      <c r="H266" s="127"/>
    </row>
    <row r="267" s="125" customFormat="1" spans="8:8">
      <c r="H267" s="127"/>
    </row>
    <row r="268" s="125" customFormat="1" spans="8:8">
      <c r="H268" s="127"/>
    </row>
    <row r="269" s="125" customFormat="1" spans="8:8">
      <c r="H269" s="127"/>
    </row>
    <row r="270" s="125" customFormat="1" spans="8:8">
      <c r="H270" s="127"/>
    </row>
    <row r="271" s="125" customFormat="1" spans="8:8">
      <c r="H271" s="127"/>
    </row>
    <row r="272" s="125" customFormat="1" spans="8:8">
      <c r="H272" s="127"/>
    </row>
    <row r="273" s="125" customFormat="1" spans="8:8">
      <c r="H273" s="127"/>
    </row>
    <row r="274" s="125" customFormat="1" spans="8:8">
      <c r="H274" s="127"/>
    </row>
    <row r="275" s="125" customFormat="1" spans="8:8">
      <c r="H275" s="127"/>
    </row>
    <row r="276" s="125" customFormat="1" spans="8:8">
      <c r="H276" s="127"/>
    </row>
    <row r="277" s="125" customFormat="1" spans="8:8">
      <c r="H277" s="127"/>
    </row>
    <row r="278" s="125" customFormat="1" spans="8:8">
      <c r="H278" s="127"/>
    </row>
    <row r="279" s="125" customFormat="1" spans="8:8">
      <c r="H279" s="127"/>
    </row>
    <row r="280" s="125" customFormat="1" spans="8:8">
      <c r="H280" s="127"/>
    </row>
    <row r="281" s="125" customFormat="1" spans="8:8">
      <c r="H281" s="127"/>
    </row>
    <row r="282" s="125" customFormat="1" spans="8:8">
      <c r="H282" s="127"/>
    </row>
    <row r="283" s="125" customFormat="1" spans="8:8">
      <c r="H283" s="127"/>
    </row>
    <row r="284" s="125" customFormat="1" spans="8:8">
      <c r="H284" s="127"/>
    </row>
    <row r="285" s="125" customFormat="1" spans="8:8">
      <c r="H285" s="127"/>
    </row>
    <row r="286" s="125" customFormat="1" spans="8:8">
      <c r="H286" s="127"/>
    </row>
    <row r="287" s="125" customFormat="1" spans="8:8">
      <c r="H287" s="127"/>
    </row>
    <row r="288" s="125" customFormat="1" spans="8:8">
      <c r="H288" s="127"/>
    </row>
    <row r="289" s="125" customFormat="1" spans="8:8">
      <c r="H289" s="127"/>
    </row>
    <row r="290" s="125" customFormat="1" spans="8:8">
      <c r="H290" s="127"/>
    </row>
    <row r="291" s="125" customFormat="1" spans="8:8">
      <c r="H291" s="127"/>
    </row>
    <row r="292" s="125" customFormat="1" spans="8:8">
      <c r="H292" s="127"/>
    </row>
    <row r="293" s="125" customFormat="1" spans="8:8">
      <c r="H293" s="127"/>
    </row>
    <row r="294" s="125" customFormat="1" spans="8:8">
      <c r="H294" s="127"/>
    </row>
    <row r="295" s="125" customFormat="1" spans="8:8">
      <c r="H295" s="127"/>
    </row>
    <row r="296" s="125" customFormat="1" spans="8:8">
      <c r="H296" s="127"/>
    </row>
    <row r="297" s="125" customFormat="1" spans="8:8">
      <c r="H297" s="127"/>
    </row>
    <row r="298" s="125" customFormat="1" spans="8:8">
      <c r="H298" s="127"/>
    </row>
    <row r="299" s="125" customFormat="1" spans="8:8">
      <c r="H299" s="127"/>
    </row>
    <row r="300" s="125" customFormat="1" spans="8:8">
      <c r="H300" s="127"/>
    </row>
    <row r="301" s="125" customFormat="1" spans="8:8">
      <c r="H301" s="127"/>
    </row>
    <row r="302" s="125" customFormat="1" spans="8:8">
      <c r="H302" s="127"/>
    </row>
    <row r="303" s="125" customFormat="1" spans="8:8">
      <c r="H303" s="127"/>
    </row>
    <row r="304" s="125" customFormat="1" spans="8:8">
      <c r="H304" s="127"/>
    </row>
    <row r="305" s="125" customFormat="1" spans="8:8">
      <c r="H305" s="127"/>
    </row>
    <row r="306" s="125" customFormat="1" spans="8:8">
      <c r="H306" s="127"/>
    </row>
    <row r="307" s="125" customFormat="1" spans="8:8">
      <c r="H307" s="127"/>
    </row>
    <row r="308" s="125" customFormat="1" spans="8:8">
      <c r="H308" s="127"/>
    </row>
    <row r="309" s="125" customFormat="1" spans="8:8">
      <c r="H309" s="127"/>
    </row>
    <row r="310" s="125" customFormat="1" spans="8:8">
      <c r="H310" s="127"/>
    </row>
    <row r="311" s="125" customFormat="1" spans="8:8">
      <c r="H311" s="127"/>
    </row>
    <row r="312" s="125" customFormat="1" spans="8:8">
      <c r="H312" s="127"/>
    </row>
    <row r="313" s="125" customFormat="1" spans="8:8">
      <c r="H313" s="127"/>
    </row>
  </sheetData>
  <mergeCells count="3">
    <mergeCell ref="A1:H1"/>
    <mergeCell ref="A3:D3"/>
    <mergeCell ref="E3:H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9"/>
  <sheetViews>
    <sheetView zoomScaleSheetLayoutView="60" workbookViewId="0">
      <pane xSplit="1" ySplit="5" topLeftCell="B6" activePane="bottomRight" state="frozen"/>
      <selection/>
      <selection pane="topRight"/>
      <selection pane="bottomLeft"/>
      <selection pane="bottomRight" activeCell="E8" sqref="E8"/>
    </sheetView>
  </sheetViews>
  <sheetFormatPr defaultColWidth="9" defaultRowHeight="15" outlineLevelCol="7"/>
  <cols>
    <col min="1" max="1" width="51.375" style="102" customWidth="1"/>
    <col min="2" max="2" width="10.5" style="102" customWidth="1"/>
    <col min="3" max="3" width="9.125" style="102" customWidth="1"/>
    <col min="4" max="4" width="10.5" style="102" customWidth="1"/>
    <col min="5" max="5" width="9.5" style="102" customWidth="1"/>
    <col min="6" max="6" width="8" style="102" customWidth="1"/>
    <col min="7" max="7" width="8.75" style="102" customWidth="1"/>
    <col min="8" max="8" width="9.5" style="102" customWidth="1"/>
    <col min="9" max="16384" width="9" style="102"/>
  </cols>
  <sheetData>
    <row r="1" s="102" customFormat="1" ht="21" spans="1:8">
      <c r="A1" s="599" t="s">
        <v>4296</v>
      </c>
      <c r="B1" s="105"/>
      <c r="C1" s="105"/>
      <c r="D1" s="105"/>
      <c r="E1" s="105"/>
      <c r="F1" s="105"/>
      <c r="G1" s="105"/>
      <c r="H1" s="105"/>
    </row>
    <row r="2" s="102" customFormat="1" ht="18" customHeight="1" spans="1:8">
      <c r="A2" s="106"/>
      <c r="H2" s="107" t="s">
        <v>51</v>
      </c>
    </row>
    <row r="3" s="93" customFormat="1" ht="31.5" customHeight="1" spans="1:8">
      <c r="A3" s="108" t="s">
        <v>52</v>
      </c>
      <c r="B3" s="108" t="s">
        <v>959</v>
      </c>
      <c r="C3" s="109" t="s">
        <v>960</v>
      </c>
      <c r="D3" s="109" t="s">
        <v>962</v>
      </c>
      <c r="E3" s="109" t="s">
        <v>453</v>
      </c>
      <c r="F3" s="110" t="s">
        <v>452</v>
      </c>
      <c r="G3" s="109" t="s">
        <v>965</v>
      </c>
      <c r="H3" s="108" t="s">
        <v>966</v>
      </c>
    </row>
    <row r="4" s="93" customFormat="1" ht="27.75" customHeight="1" spans="1:8">
      <c r="A4" s="111"/>
      <c r="B4" s="111"/>
      <c r="C4" s="112"/>
      <c r="D4" s="113"/>
      <c r="E4" s="114"/>
      <c r="F4" s="115"/>
      <c r="G4" s="116"/>
      <c r="H4" s="111"/>
    </row>
    <row r="5" s="103" customFormat="1" ht="18.4" customHeight="1" spans="1:8">
      <c r="A5" s="117" t="s">
        <v>4215</v>
      </c>
      <c r="B5" s="118">
        <f t="shared" ref="B5:B68" si="0">SUM(C5:H5)</f>
        <v>0</v>
      </c>
      <c r="C5" s="118">
        <f t="shared" ref="C5:H5" si="1">C6</f>
        <v>0</v>
      </c>
      <c r="D5" s="118">
        <f t="shared" si="1"/>
        <v>0</v>
      </c>
      <c r="E5" s="118">
        <f t="shared" si="1"/>
        <v>0</v>
      </c>
      <c r="F5" s="118">
        <f t="shared" si="1"/>
        <v>0</v>
      </c>
      <c r="G5" s="118">
        <f t="shared" si="1"/>
        <v>0</v>
      </c>
      <c r="H5" s="118">
        <f t="shared" si="1"/>
        <v>0</v>
      </c>
    </row>
    <row r="6" s="103" customFormat="1" ht="18.4" customHeight="1" spans="1:8">
      <c r="A6" s="119" t="s">
        <v>4216</v>
      </c>
      <c r="B6" s="36">
        <f t="shared" si="0"/>
        <v>0</v>
      </c>
      <c r="C6" s="36"/>
      <c r="D6" s="36"/>
      <c r="E6" s="36"/>
      <c r="F6" s="36"/>
      <c r="G6" s="36"/>
      <c r="H6" s="36"/>
    </row>
    <row r="7" s="103" customFormat="1" ht="18.4" customHeight="1" spans="1:8">
      <c r="A7" s="117" t="s">
        <v>4217</v>
      </c>
      <c r="B7" s="118">
        <f t="shared" si="0"/>
        <v>0</v>
      </c>
      <c r="C7" s="118">
        <f t="shared" ref="C7:H7" si="2">C8+C9</f>
        <v>0</v>
      </c>
      <c r="D7" s="118">
        <f t="shared" si="2"/>
        <v>0</v>
      </c>
      <c r="E7" s="118">
        <f t="shared" si="2"/>
        <v>0</v>
      </c>
      <c r="F7" s="118">
        <f t="shared" si="2"/>
        <v>0</v>
      </c>
      <c r="G7" s="118">
        <f t="shared" si="2"/>
        <v>0</v>
      </c>
      <c r="H7" s="118">
        <f t="shared" si="2"/>
        <v>0</v>
      </c>
    </row>
    <row r="8" s="103" customFormat="1" ht="18.4" customHeight="1" spans="1:8">
      <c r="A8" s="120" t="s">
        <v>4218</v>
      </c>
      <c r="B8" s="36">
        <f t="shared" si="0"/>
        <v>0</v>
      </c>
      <c r="C8" s="36"/>
      <c r="D8" s="36"/>
      <c r="E8" s="36"/>
      <c r="F8" s="36"/>
      <c r="G8" s="36"/>
      <c r="H8" s="36"/>
    </row>
    <row r="9" s="103" customFormat="1" ht="18.4" customHeight="1" spans="1:8">
      <c r="A9" s="119" t="s">
        <v>4216</v>
      </c>
      <c r="B9" s="36">
        <f t="shared" si="0"/>
        <v>0</v>
      </c>
      <c r="C9" s="36"/>
      <c r="D9" s="36"/>
      <c r="E9" s="36"/>
      <c r="F9" s="36"/>
      <c r="G9" s="36"/>
      <c r="H9" s="36"/>
    </row>
    <row r="10" s="103" customFormat="1" ht="18.4" customHeight="1" spans="1:8">
      <c r="A10" s="117" t="s">
        <v>4219</v>
      </c>
      <c r="B10" s="118">
        <f t="shared" si="0"/>
        <v>9</v>
      </c>
      <c r="C10" s="118">
        <f t="shared" ref="C10:H10" si="3">SUM(C11:C14)</f>
        <v>0</v>
      </c>
      <c r="D10" s="118">
        <f t="shared" si="3"/>
        <v>0</v>
      </c>
      <c r="E10" s="118">
        <f t="shared" si="3"/>
        <v>9</v>
      </c>
      <c r="F10" s="118">
        <f t="shared" si="3"/>
        <v>0</v>
      </c>
      <c r="G10" s="118">
        <f t="shared" si="3"/>
        <v>0</v>
      </c>
      <c r="H10" s="118">
        <f t="shared" si="3"/>
        <v>0</v>
      </c>
    </row>
    <row r="11" s="103" customFormat="1" ht="18.4" customHeight="1" spans="1:8">
      <c r="A11" s="120" t="s">
        <v>4220</v>
      </c>
      <c r="B11" s="36">
        <f t="shared" si="0"/>
        <v>9</v>
      </c>
      <c r="C11" s="36"/>
      <c r="D11" s="36"/>
      <c r="E11" s="36">
        <v>9</v>
      </c>
      <c r="F11" s="36"/>
      <c r="G11" s="36"/>
      <c r="H11" s="36"/>
    </row>
    <row r="12" s="103" customFormat="1" ht="18.4" customHeight="1" spans="1:8">
      <c r="A12" s="120" t="s">
        <v>4221</v>
      </c>
      <c r="B12" s="36">
        <f t="shared" si="0"/>
        <v>0</v>
      </c>
      <c r="C12" s="36"/>
      <c r="D12" s="36"/>
      <c r="E12" s="36"/>
      <c r="F12" s="36"/>
      <c r="G12" s="36"/>
      <c r="H12" s="36"/>
    </row>
    <row r="13" s="103" customFormat="1" ht="18.4" customHeight="1" spans="1:8">
      <c r="A13" s="120" t="s">
        <v>4222</v>
      </c>
      <c r="B13" s="36">
        <f t="shared" si="0"/>
        <v>0</v>
      </c>
      <c r="C13" s="36"/>
      <c r="D13" s="36"/>
      <c r="E13" s="36"/>
      <c r="F13" s="36"/>
      <c r="G13" s="36"/>
      <c r="H13" s="36"/>
    </row>
    <row r="14" s="103" customFormat="1" ht="18.4" customHeight="1" spans="1:8">
      <c r="A14" s="119" t="s">
        <v>4216</v>
      </c>
      <c r="B14" s="36">
        <f t="shared" si="0"/>
        <v>0</v>
      </c>
      <c r="C14" s="36"/>
      <c r="D14" s="36"/>
      <c r="E14" s="36"/>
      <c r="F14" s="36"/>
      <c r="G14" s="36"/>
      <c r="H14" s="36"/>
    </row>
    <row r="15" s="103" customFormat="1" ht="18.4" customHeight="1" spans="1:8">
      <c r="A15" s="117" t="s">
        <v>4223</v>
      </c>
      <c r="B15" s="118">
        <f t="shared" si="0"/>
        <v>0</v>
      </c>
      <c r="C15" s="118">
        <f t="shared" ref="C15:H15" si="4">SUM(C16)</f>
        <v>0</v>
      </c>
      <c r="D15" s="118">
        <f t="shared" si="4"/>
        <v>0</v>
      </c>
      <c r="E15" s="118">
        <f t="shared" si="4"/>
        <v>0</v>
      </c>
      <c r="F15" s="118">
        <f t="shared" si="4"/>
        <v>0</v>
      </c>
      <c r="G15" s="118">
        <f t="shared" si="4"/>
        <v>0</v>
      </c>
      <c r="H15" s="118">
        <f t="shared" si="4"/>
        <v>0</v>
      </c>
    </row>
    <row r="16" s="103" customFormat="1" ht="18.4" customHeight="1" spans="1:8">
      <c r="A16" s="119" t="s">
        <v>4216</v>
      </c>
      <c r="B16" s="36">
        <f t="shared" si="0"/>
        <v>0</v>
      </c>
      <c r="C16" s="36"/>
      <c r="D16" s="36"/>
      <c r="E16" s="36"/>
      <c r="F16" s="36"/>
      <c r="G16" s="36"/>
      <c r="H16" s="36"/>
    </row>
    <row r="17" s="103" customFormat="1" ht="18.4" customHeight="1" spans="1:8">
      <c r="A17" s="117" t="s">
        <v>4224</v>
      </c>
      <c r="B17" s="118">
        <f t="shared" si="0"/>
        <v>0</v>
      </c>
      <c r="C17" s="118">
        <f t="shared" ref="C17:H17" si="5">SUM(C18:C20)</f>
        <v>0</v>
      </c>
      <c r="D17" s="118">
        <f t="shared" si="5"/>
        <v>0</v>
      </c>
      <c r="E17" s="118">
        <f t="shared" si="5"/>
        <v>0</v>
      </c>
      <c r="F17" s="118">
        <f t="shared" si="5"/>
        <v>0</v>
      </c>
      <c r="G17" s="118">
        <f t="shared" si="5"/>
        <v>0</v>
      </c>
      <c r="H17" s="118">
        <f t="shared" si="5"/>
        <v>0</v>
      </c>
    </row>
    <row r="18" s="103" customFormat="1" ht="18.4" customHeight="1" spans="1:8">
      <c r="A18" s="119" t="s">
        <v>4225</v>
      </c>
      <c r="B18" s="36">
        <f t="shared" si="0"/>
        <v>0</v>
      </c>
      <c r="C18" s="36"/>
      <c r="D18" s="36"/>
      <c r="E18" s="36"/>
      <c r="F18" s="36"/>
      <c r="G18" s="36"/>
      <c r="H18" s="36"/>
    </row>
    <row r="19" s="103" customFormat="1" ht="18.4" customHeight="1" spans="1:8">
      <c r="A19" s="119" t="s">
        <v>4226</v>
      </c>
      <c r="B19" s="36">
        <f t="shared" si="0"/>
        <v>0</v>
      </c>
      <c r="C19" s="36"/>
      <c r="D19" s="36"/>
      <c r="E19" s="36"/>
      <c r="F19" s="36"/>
      <c r="G19" s="36"/>
      <c r="H19" s="36"/>
    </row>
    <row r="20" s="103" customFormat="1" ht="18.4" customHeight="1" spans="1:8">
      <c r="A20" s="119" t="s">
        <v>4216</v>
      </c>
      <c r="B20" s="36">
        <f t="shared" si="0"/>
        <v>0</v>
      </c>
      <c r="C20" s="36"/>
      <c r="D20" s="36"/>
      <c r="E20" s="36"/>
      <c r="F20" s="36"/>
      <c r="G20" s="36"/>
      <c r="H20" s="36"/>
    </row>
    <row r="21" s="103" customFormat="1" ht="18.4" customHeight="1" spans="1:8">
      <c r="A21" s="117" t="s">
        <v>4227</v>
      </c>
      <c r="B21" s="118">
        <f t="shared" si="0"/>
        <v>20881</v>
      </c>
      <c r="C21" s="118">
        <f t="shared" ref="C21:H21" si="6">SUM(C22:C32)</f>
        <v>10164</v>
      </c>
      <c r="D21" s="118">
        <f t="shared" si="6"/>
        <v>0</v>
      </c>
      <c r="E21" s="118">
        <f t="shared" si="6"/>
        <v>10717</v>
      </c>
      <c r="F21" s="118">
        <f t="shared" si="6"/>
        <v>0</v>
      </c>
      <c r="G21" s="118">
        <f t="shared" si="6"/>
        <v>0</v>
      </c>
      <c r="H21" s="118">
        <f t="shared" si="6"/>
        <v>0</v>
      </c>
    </row>
    <row r="22" s="103" customFormat="1" ht="18.4" customHeight="1" spans="1:8">
      <c r="A22" s="119" t="s">
        <v>4228</v>
      </c>
      <c r="B22" s="36">
        <f t="shared" si="0"/>
        <v>17782</v>
      </c>
      <c r="C22" s="36">
        <v>9314</v>
      </c>
      <c r="D22" s="36"/>
      <c r="E22" s="36">
        <v>8468</v>
      </c>
      <c r="F22" s="36"/>
      <c r="G22" s="36"/>
      <c r="H22" s="36"/>
    </row>
    <row r="23" s="103" customFormat="1" ht="18.4" customHeight="1" spans="1:8">
      <c r="A23" s="119" t="s">
        <v>4229</v>
      </c>
      <c r="B23" s="36">
        <f t="shared" si="0"/>
        <v>0</v>
      </c>
      <c r="C23" s="36"/>
      <c r="D23" s="36"/>
      <c r="E23" s="36"/>
      <c r="F23" s="36"/>
      <c r="G23" s="36"/>
      <c r="H23" s="36"/>
    </row>
    <row r="24" s="103" customFormat="1" ht="18.4" customHeight="1" spans="1:8">
      <c r="A24" s="119" t="s">
        <v>4230</v>
      </c>
      <c r="B24" s="36">
        <f t="shared" si="0"/>
        <v>262</v>
      </c>
      <c r="C24" s="36"/>
      <c r="D24" s="36"/>
      <c r="E24" s="36">
        <v>262</v>
      </c>
      <c r="F24" s="36"/>
      <c r="G24" s="36"/>
      <c r="H24" s="36"/>
    </row>
    <row r="25" s="103" customFormat="1" ht="18.4" customHeight="1" spans="1:8">
      <c r="A25" s="119" t="s">
        <v>4231</v>
      </c>
      <c r="B25" s="36">
        <f t="shared" si="0"/>
        <v>0</v>
      </c>
      <c r="C25" s="36"/>
      <c r="D25" s="36"/>
      <c r="E25" s="36"/>
      <c r="F25" s="36"/>
      <c r="G25" s="36"/>
      <c r="H25" s="36"/>
    </row>
    <row r="26" s="103" customFormat="1" ht="18.4" customHeight="1" spans="1:8">
      <c r="A26" s="119" t="s">
        <v>4232</v>
      </c>
      <c r="B26" s="36">
        <f t="shared" si="0"/>
        <v>696</v>
      </c>
      <c r="C26" s="36">
        <v>650</v>
      </c>
      <c r="D26" s="36"/>
      <c r="E26" s="36">
        <v>46</v>
      </c>
      <c r="F26" s="36"/>
      <c r="G26" s="36"/>
      <c r="H26" s="36"/>
    </row>
    <row r="27" s="103" customFormat="1" ht="18.4" customHeight="1" spans="1:8">
      <c r="A27" s="119" t="s">
        <v>4233</v>
      </c>
      <c r="B27" s="36">
        <f t="shared" si="0"/>
        <v>0</v>
      </c>
      <c r="C27" s="36"/>
      <c r="D27" s="36"/>
      <c r="E27" s="36"/>
      <c r="F27" s="36"/>
      <c r="G27" s="36"/>
      <c r="H27" s="36"/>
    </row>
    <row r="28" s="103" customFormat="1" ht="16" customHeight="1" spans="1:8">
      <c r="A28" s="119" t="s">
        <v>4234</v>
      </c>
      <c r="B28" s="36">
        <f t="shared" si="0"/>
        <v>200</v>
      </c>
      <c r="C28" s="36">
        <v>200</v>
      </c>
      <c r="D28" s="36"/>
      <c r="E28" s="36"/>
      <c r="F28" s="36"/>
      <c r="G28" s="36"/>
      <c r="H28" s="36"/>
    </row>
    <row r="29" s="103" customFormat="1" ht="18.4" customHeight="1" spans="1:8">
      <c r="A29" s="119" t="s">
        <v>4235</v>
      </c>
      <c r="B29" s="36">
        <f t="shared" si="0"/>
        <v>0</v>
      </c>
      <c r="C29" s="36"/>
      <c r="D29" s="36"/>
      <c r="E29" s="36"/>
      <c r="F29" s="36"/>
      <c r="G29" s="36"/>
      <c r="H29" s="36"/>
    </row>
    <row r="30" s="103" customFormat="1" ht="18.4" customHeight="1" spans="1:8">
      <c r="A30" s="119" t="s">
        <v>4236</v>
      </c>
      <c r="B30" s="36">
        <f t="shared" si="0"/>
        <v>0</v>
      </c>
      <c r="C30" s="36"/>
      <c r="D30" s="36"/>
      <c r="E30" s="36"/>
      <c r="F30" s="36"/>
      <c r="G30" s="36"/>
      <c r="H30" s="36"/>
    </row>
    <row r="31" s="103" customFormat="1" ht="18.4" customHeight="1" spans="1:8">
      <c r="A31" s="119" t="s">
        <v>4237</v>
      </c>
      <c r="B31" s="36">
        <f t="shared" si="0"/>
        <v>1941</v>
      </c>
      <c r="C31" s="36"/>
      <c r="D31" s="36"/>
      <c r="E31" s="36">
        <v>1941</v>
      </c>
      <c r="F31" s="36"/>
      <c r="G31" s="36"/>
      <c r="H31" s="36"/>
    </row>
    <row r="32" s="103" customFormat="1" ht="18.4" customHeight="1" spans="1:8">
      <c r="A32" s="119" t="s">
        <v>4216</v>
      </c>
      <c r="B32" s="36">
        <f t="shared" si="0"/>
        <v>0</v>
      </c>
      <c r="C32" s="36"/>
      <c r="D32" s="36"/>
      <c r="E32" s="36"/>
      <c r="F32" s="36"/>
      <c r="G32" s="36"/>
      <c r="H32" s="36"/>
    </row>
    <row r="33" s="103" customFormat="1" ht="18.4" customHeight="1" spans="1:8">
      <c r="A33" s="117" t="s">
        <v>4238</v>
      </c>
      <c r="B33" s="118">
        <f t="shared" si="0"/>
        <v>8271</v>
      </c>
      <c r="C33" s="118">
        <f t="shared" ref="C33:H33" si="7">SUM(C34:C42)</f>
        <v>0</v>
      </c>
      <c r="D33" s="118">
        <f t="shared" si="7"/>
        <v>994</v>
      </c>
      <c r="E33" s="118">
        <f t="shared" si="7"/>
        <v>7277</v>
      </c>
      <c r="F33" s="118">
        <f t="shared" si="7"/>
        <v>0</v>
      </c>
      <c r="G33" s="118">
        <f t="shared" si="7"/>
        <v>0</v>
      </c>
      <c r="H33" s="118">
        <f t="shared" si="7"/>
        <v>0</v>
      </c>
    </row>
    <row r="34" s="103" customFormat="1" ht="18.4" customHeight="1" spans="1:8">
      <c r="A34" s="119" t="s">
        <v>4239</v>
      </c>
      <c r="B34" s="36">
        <f t="shared" si="0"/>
        <v>1091</v>
      </c>
      <c r="C34" s="36"/>
      <c r="D34" s="36"/>
      <c r="E34" s="36">
        <v>1091</v>
      </c>
      <c r="F34" s="36"/>
      <c r="G34" s="36"/>
      <c r="H34" s="36"/>
    </row>
    <row r="35" s="103" customFormat="1" ht="18.4" customHeight="1" spans="1:8">
      <c r="A35" s="119" t="s">
        <v>4240</v>
      </c>
      <c r="B35" s="36">
        <f t="shared" si="0"/>
        <v>0</v>
      </c>
      <c r="C35" s="36"/>
      <c r="D35" s="36"/>
      <c r="E35" s="36"/>
      <c r="F35" s="36"/>
      <c r="G35" s="36"/>
      <c r="H35" s="36"/>
    </row>
    <row r="36" s="103" customFormat="1" ht="18.4" customHeight="1" spans="1:8">
      <c r="A36" s="119" t="s">
        <v>4241</v>
      </c>
      <c r="B36" s="36">
        <f t="shared" si="0"/>
        <v>234</v>
      </c>
      <c r="C36" s="36"/>
      <c r="D36" s="36"/>
      <c r="E36" s="36">
        <v>234</v>
      </c>
      <c r="F36" s="36"/>
      <c r="G36" s="36"/>
      <c r="H36" s="36"/>
    </row>
    <row r="37" s="103" customFormat="1" ht="18.4" customHeight="1" spans="1:8">
      <c r="A37" s="119" t="s">
        <v>4242</v>
      </c>
      <c r="B37" s="36">
        <f t="shared" si="0"/>
        <v>0</v>
      </c>
      <c r="C37" s="36"/>
      <c r="D37" s="36"/>
      <c r="E37" s="36"/>
      <c r="F37" s="36"/>
      <c r="G37" s="36"/>
      <c r="H37" s="36"/>
    </row>
    <row r="38" s="103" customFormat="1" ht="18.4" customHeight="1" spans="1:8">
      <c r="A38" s="121" t="s">
        <v>4243</v>
      </c>
      <c r="B38" s="36">
        <f t="shared" si="0"/>
        <v>0</v>
      </c>
      <c r="C38" s="36"/>
      <c r="D38" s="36"/>
      <c r="E38" s="36"/>
      <c r="F38" s="36"/>
      <c r="G38" s="36"/>
      <c r="H38" s="36"/>
    </row>
    <row r="39" s="103" customFormat="1" ht="18.4" customHeight="1" spans="1:8">
      <c r="A39" s="121" t="s">
        <v>4244</v>
      </c>
      <c r="B39" s="36">
        <f t="shared" si="0"/>
        <v>6691</v>
      </c>
      <c r="C39" s="36"/>
      <c r="D39" s="36">
        <v>994</v>
      </c>
      <c r="E39" s="36">
        <v>5697</v>
      </c>
      <c r="F39" s="36"/>
      <c r="G39" s="36"/>
      <c r="H39" s="36"/>
    </row>
    <row r="40" s="103" customFormat="1" ht="18.4" customHeight="1" spans="1:8">
      <c r="A40" s="121" t="s">
        <v>4245</v>
      </c>
      <c r="B40" s="36">
        <f t="shared" si="0"/>
        <v>255</v>
      </c>
      <c r="C40" s="36"/>
      <c r="D40" s="36"/>
      <c r="E40" s="36">
        <v>255</v>
      </c>
      <c r="F40" s="36"/>
      <c r="G40" s="36"/>
      <c r="H40" s="36"/>
    </row>
    <row r="41" s="103" customFormat="1" ht="18.4" customHeight="1" spans="1:8">
      <c r="A41" s="121" t="s">
        <v>4246</v>
      </c>
      <c r="B41" s="36">
        <f t="shared" si="0"/>
        <v>0</v>
      </c>
      <c r="C41" s="36"/>
      <c r="D41" s="36"/>
      <c r="E41" s="36"/>
      <c r="F41" s="36"/>
      <c r="G41" s="36"/>
      <c r="H41" s="36"/>
    </row>
    <row r="42" s="103" customFormat="1" ht="18.4" customHeight="1" spans="1:8">
      <c r="A42" s="121" t="s">
        <v>4216</v>
      </c>
      <c r="B42" s="36">
        <f t="shared" si="0"/>
        <v>0</v>
      </c>
      <c r="C42" s="36"/>
      <c r="D42" s="36"/>
      <c r="E42" s="36"/>
      <c r="F42" s="36"/>
      <c r="G42" s="36"/>
      <c r="H42" s="36"/>
    </row>
    <row r="43" s="103" customFormat="1" ht="18.4" customHeight="1" spans="1:8">
      <c r="A43" s="117" t="s">
        <v>4247</v>
      </c>
      <c r="B43" s="118">
        <f t="shared" si="0"/>
        <v>0</v>
      </c>
      <c r="C43" s="118">
        <f t="shared" ref="C43:H43" si="8">SUM(C44:C52)</f>
        <v>0</v>
      </c>
      <c r="D43" s="118">
        <f t="shared" si="8"/>
        <v>0</v>
      </c>
      <c r="E43" s="118">
        <f t="shared" si="8"/>
        <v>0</v>
      </c>
      <c r="F43" s="118">
        <f t="shared" si="8"/>
        <v>0</v>
      </c>
      <c r="G43" s="118">
        <f t="shared" si="8"/>
        <v>0</v>
      </c>
      <c r="H43" s="118">
        <f t="shared" si="8"/>
        <v>0</v>
      </c>
    </row>
    <row r="44" s="103" customFormat="1" ht="18.4" customHeight="1" spans="1:8">
      <c r="A44" s="119" t="s">
        <v>4248</v>
      </c>
      <c r="B44" s="36">
        <f t="shared" si="0"/>
        <v>0</v>
      </c>
      <c r="C44" s="36"/>
      <c r="D44" s="36"/>
      <c r="E44" s="36"/>
      <c r="F44" s="36"/>
      <c r="G44" s="36"/>
      <c r="H44" s="36"/>
    </row>
    <row r="45" s="103" customFormat="1" ht="18.4" customHeight="1" spans="1:8">
      <c r="A45" s="119" t="s">
        <v>4249</v>
      </c>
      <c r="B45" s="36">
        <f t="shared" si="0"/>
        <v>0</v>
      </c>
      <c r="C45" s="36"/>
      <c r="D45" s="36"/>
      <c r="E45" s="36"/>
      <c r="F45" s="36"/>
      <c r="G45" s="36"/>
      <c r="H45" s="36"/>
    </row>
    <row r="46" s="103" customFormat="1" ht="18.4" customHeight="1" spans="1:8">
      <c r="A46" s="119" t="s">
        <v>4250</v>
      </c>
      <c r="B46" s="36">
        <f t="shared" si="0"/>
        <v>0</v>
      </c>
      <c r="C46" s="36"/>
      <c r="D46" s="36"/>
      <c r="E46" s="36"/>
      <c r="F46" s="36"/>
      <c r="G46" s="36"/>
      <c r="H46" s="36"/>
    </row>
    <row r="47" s="103" customFormat="1" ht="18.4" customHeight="1" spans="1:8">
      <c r="A47" s="119" t="s">
        <v>4251</v>
      </c>
      <c r="B47" s="36">
        <f t="shared" si="0"/>
        <v>0</v>
      </c>
      <c r="C47" s="36"/>
      <c r="D47" s="36"/>
      <c r="E47" s="36"/>
      <c r="F47" s="36"/>
      <c r="G47" s="36"/>
      <c r="H47" s="36"/>
    </row>
    <row r="48" s="103" customFormat="1" ht="18.4" customHeight="1" spans="1:8">
      <c r="A48" s="119" t="s">
        <v>4252</v>
      </c>
      <c r="B48" s="36">
        <f t="shared" si="0"/>
        <v>0</v>
      </c>
      <c r="C48" s="36"/>
      <c r="D48" s="36"/>
      <c r="E48" s="36"/>
      <c r="F48" s="36"/>
      <c r="G48" s="36"/>
      <c r="H48" s="36"/>
    </row>
    <row r="49" s="103" customFormat="1" ht="18.4" customHeight="1" spans="1:8">
      <c r="A49" s="119" t="s">
        <v>4253</v>
      </c>
      <c r="B49" s="36">
        <f t="shared" si="0"/>
        <v>0</v>
      </c>
      <c r="C49" s="36"/>
      <c r="D49" s="36"/>
      <c r="E49" s="36"/>
      <c r="F49" s="36"/>
      <c r="G49" s="36"/>
      <c r="H49" s="36"/>
    </row>
    <row r="50" s="103" customFormat="1" ht="18.4" customHeight="1" spans="1:8">
      <c r="A50" s="119" t="s">
        <v>4254</v>
      </c>
      <c r="B50" s="36">
        <f t="shared" si="0"/>
        <v>0</v>
      </c>
      <c r="C50" s="36"/>
      <c r="D50" s="36"/>
      <c r="E50" s="36"/>
      <c r="F50" s="36"/>
      <c r="G50" s="36"/>
      <c r="H50" s="36"/>
    </row>
    <row r="51" s="103" customFormat="1" ht="18.4" customHeight="1" spans="1:8">
      <c r="A51" s="119" t="s">
        <v>4255</v>
      </c>
      <c r="B51" s="36">
        <f t="shared" si="0"/>
        <v>0</v>
      </c>
      <c r="C51" s="36"/>
      <c r="D51" s="36"/>
      <c r="E51" s="36"/>
      <c r="F51" s="36"/>
      <c r="G51" s="36"/>
      <c r="H51" s="36"/>
    </row>
    <row r="52" s="103" customFormat="1" ht="18.4" customHeight="1" spans="1:8">
      <c r="A52" s="119" t="s">
        <v>4216</v>
      </c>
      <c r="B52" s="36">
        <f t="shared" si="0"/>
        <v>0</v>
      </c>
      <c r="C52" s="36"/>
      <c r="D52" s="36"/>
      <c r="E52" s="36"/>
      <c r="F52" s="36"/>
      <c r="G52" s="36"/>
      <c r="H52" s="36"/>
    </row>
    <row r="53" s="103" customFormat="1" ht="18.4" customHeight="1" spans="1:8">
      <c r="A53" s="117" t="s">
        <v>4256</v>
      </c>
      <c r="B53" s="118">
        <f t="shared" si="0"/>
        <v>420</v>
      </c>
      <c r="C53" s="118">
        <f t="shared" ref="C53:H53" si="9">SUM(C54:C55)</f>
        <v>0</v>
      </c>
      <c r="D53" s="118">
        <f t="shared" si="9"/>
        <v>0</v>
      </c>
      <c r="E53" s="118">
        <f t="shared" si="9"/>
        <v>420</v>
      </c>
      <c r="F53" s="118">
        <f t="shared" si="9"/>
        <v>0</v>
      </c>
      <c r="G53" s="118">
        <f t="shared" si="9"/>
        <v>0</v>
      </c>
      <c r="H53" s="118">
        <f t="shared" si="9"/>
        <v>0</v>
      </c>
    </row>
    <row r="54" s="103" customFormat="1" ht="18.4" customHeight="1" spans="1:8">
      <c r="A54" s="119" t="s">
        <v>4257</v>
      </c>
      <c r="B54" s="36">
        <f t="shared" si="0"/>
        <v>0</v>
      </c>
      <c r="C54" s="36"/>
      <c r="D54" s="36"/>
      <c r="E54" s="36"/>
      <c r="F54" s="36"/>
      <c r="G54" s="36"/>
      <c r="H54" s="36"/>
    </row>
    <row r="55" s="103" customFormat="1" ht="18.4" customHeight="1" spans="1:8">
      <c r="A55" s="119" t="s">
        <v>4216</v>
      </c>
      <c r="B55" s="36">
        <f t="shared" si="0"/>
        <v>420</v>
      </c>
      <c r="C55" s="36"/>
      <c r="D55" s="36"/>
      <c r="E55" s="36">
        <v>420</v>
      </c>
      <c r="F55" s="36"/>
      <c r="G55" s="36"/>
      <c r="H55" s="36"/>
    </row>
    <row r="56" s="103" customFormat="1" ht="18.4" customHeight="1" spans="1:8">
      <c r="A56" s="117" t="s">
        <v>4258</v>
      </c>
      <c r="B56" s="118">
        <f t="shared" si="0"/>
        <v>0</v>
      </c>
      <c r="C56" s="118">
        <f t="shared" ref="C56:H56" si="10">SUM(C57)</f>
        <v>0</v>
      </c>
      <c r="D56" s="118">
        <f t="shared" si="10"/>
        <v>0</v>
      </c>
      <c r="E56" s="118">
        <f t="shared" si="10"/>
        <v>0</v>
      </c>
      <c r="F56" s="118">
        <f t="shared" si="10"/>
        <v>0</v>
      </c>
      <c r="G56" s="118">
        <f t="shared" si="10"/>
        <v>0</v>
      </c>
      <c r="H56" s="118">
        <f t="shared" si="10"/>
        <v>0</v>
      </c>
    </row>
    <row r="57" s="103" customFormat="1" ht="18.4" customHeight="1" spans="1:8">
      <c r="A57" s="119" t="s">
        <v>4259</v>
      </c>
      <c r="B57" s="36">
        <f t="shared" si="0"/>
        <v>0</v>
      </c>
      <c r="C57" s="36"/>
      <c r="D57" s="36"/>
      <c r="E57" s="36"/>
      <c r="F57" s="36"/>
      <c r="G57" s="36"/>
      <c r="H57" s="36"/>
    </row>
    <row r="58" s="103" customFormat="1" ht="18.4" customHeight="1" spans="1:8">
      <c r="A58" s="117" t="s">
        <v>4260</v>
      </c>
      <c r="B58" s="118">
        <f t="shared" si="0"/>
        <v>50</v>
      </c>
      <c r="C58" s="118">
        <f t="shared" ref="C58:H58" si="11">SUM(C59)</f>
        <v>0</v>
      </c>
      <c r="D58" s="118">
        <f t="shared" si="11"/>
        <v>50</v>
      </c>
      <c r="E58" s="118">
        <f t="shared" si="11"/>
        <v>0</v>
      </c>
      <c r="F58" s="118">
        <f t="shared" si="11"/>
        <v>0</v>
      </c>
      <c r="G58" s="118">
        <f t="shared" si="11"/>
        <v>0</v>
      </c>
      <c r="H58" s="118">
        <f t="shared" si="11"/>
        <v>0</v>
      </c>
    </row>
    <row r="59" s="103" customFormat="1" ht="18.4" customHeight="1" spans="1:8">
      <c r="A59" s="119" t="s">
        <v>4261</v>
      </c>
      <c r="B59" s="36">
        <f t="shared" si="0"/>
        <v>50</v>
      </c>
      <c r="C59" s="36"/>
      <c r="D59" s="36">
        <v>50</v>
      </c>
      <c r="E59" s="36"/>
      <c r="F59" s="36"/>
      <c r="G59" s="36"/>
      <c r="H59" s="36"/>
    </row>
    <row r="60" s="103" customFormat="1" ht="18.4" customHeight="1" spans="1:8">
      <c r="A60" s="117" t="s">
        <v>4262</v>
      </c>
      <c r="B60" s="118">
        <f t="shared" si="0"/>
        <v>0</v>
      </c>
      <c r="C60" s="118">
        <f t="shared" ref="C60:H60" si="12">SUM(C61)</f>
        <v>0</v>
      </c>
      <c r="D60" s="118">
        <f t="shared" si="12"/>
        <v>0</v>
      </c>
      <c r="E60" s="118">
        <f t="shared" si="12"/>
        <v>0</v>
      </c>
      <c r="F60" s="118">
        <f t="shared" si="12"/>
        <v>0</v>
      </c>
      <c r="G60" s="118">
        <f t="shared" si="12"/>
        <v>0</v>
      </c>
      <c r="H60" s="118">
        <f t="shared" si="12"/>
        <v>0</v>
      </c>
    </row>
    <row r="61" s="103" customFormat="1" ht="18.4" customHeight="1" spans="1:8">
      <c r="A61" s="119" t="s">
        <v>4216</v>
      </c>
      <c r="B61" s="36">
        <f t="shared" si="0"/>
        <v>0</v>
      </c>
      <c r="C61" s="36"/>
      <c r="D61" s="36"/>
      <c r="E61" s="36"/>
      <c r="F61" s="36"/>
      <c r="G61" s="36"/>
      <c r="H61" s="36"/>
    </row>
    <row r="62" s="103" customFormat="1" ht="18.4" customHeight="1" spans="1:8">
      <c r="A62" s="117" t="s">
        <v>4263</v>
      </c>
      <c r="B62" s="118">
        <f t="shared" si="0"/>
        <v>0</v>
      </c>
      <c r="C62" s="118">
        <f t="shared" ref="C62:H62" si="13">SUM(C63)</f>
        <v>0</v>
      </c>
      <c r="D62" s="118">
        <f t="shared" si="13"/>
        <v>0</v>
      </c>
      <c r="E62" s="118">
        <f t="shared" si="13"/>
        <v>0</v>
      </c>
      <c r="F62" s="118">
        <f t="shared" si="13"/>
        <v>0</v>
      </c>
      <c r="G62" s="118">
        <f t="shared" si="13"/>
        <v>0</v>
      </c>
      <c r="H62" s="118">
        <f t="shared" si="13"/>
        <v>0</v>
      </c>
    </row>
    <row r="63" s="103" customFormat="1" ht="18.4" customHeight="1" spans="1:8">
      <c r="A63" s="119" t="s">
        <v>4216</v>
      </c>
      <c r="B63" s="36">
        <f t="shared" si="0"/>
        <v>0</v>
      </c>
      <c r="C63" s="36"/>
      <c r="D63" s="36"/>
      <c r="E63" s="36"/>
      <c r="F63" s="36"/>
      <c r="G63" s="36"/>
      <c r="H63" s="36"/>
    </row>
    <row r="64" s="103" customFormat="1" ht="18.4" customHeight="1" spans="1:8">
      <c r="A64" s="117" t="s">
        <v>4264</v>
      </c>
      <c r="B64" s="118">
        <f t="shared" si="0"/>
        <v>0</v>
      </c>
      <c r="C64" s="118">
        <f t="shared" ref="C64:H64" si="14">SUM(C65)</f>
        <v>0</v>
      </c>
      <c r="D64" s="118">
        <f t="shared" si="14"/>
        <v>0</v>
      </c>
      <c r="E64" s="118">
        <f t="shared" si="14"/>
        <v>0</v>
      </c>
      <c r="F64" s="118">
        <f t="shared" si="14"/>
        <v>0</v>
      </c>
      <c r="G64" s="118">
        <f t="shared" si="14"/>
        <v>0</v>
      </c>
      <c r="H64" s="118">
        <f t="shared" si="14"/>
        <v>0</v>
      </c>
    </row>
    <row r="65" s="103" customFormat="1" ht="18.4" customHeight="1" spans="1:8">
      <c r="A65" s="119" t="s">
        <v>4216</v>
      </c>
      <c r="B65" s="36">
        <f t="shared" si="0"/>
        <v>0</v>
      </c>
      <c r="C65" s="36"/>
      <c r="D65" s="36"/>
      <c r="E65" s="36"/>
      <c r="F65" s="36"/>
      <c r="G65" s="36"/>
      <c r="H65" s="36"/>
    </row>
    <row r="66" s="103" customFormat="1" ht="18.4" customHeight="1" spans="1:8">
      <c r="A66" s="117" t="s">
        <v>4265</v>
      </c>
      <c r="B66" s="118">
        <f t="shared" si="0"/>
        <v>1891</v>
      </c>
      <c r="C66" s="118">
        <f t="shared" ref="C66:H66" si="15">SUM(C67:C72)</f>
        <v>0</v>
      </c>
      <c r="D66" s="118">
        <f t="shared" si="15"/>
        <v>78</v>
      </c>
      <c r="E66" s="118">
        <f t="shared" si="15"/>
        <v>1813</v>
      </c>
      <c r="F66" s="118">
        <f t="shared" si="15"/>
        <v>0</v>
      </c>
      <c r="G66" s="118">
        <f t="shared" si="15"/>
        <v>0</v>
      </c>
      <c r="H66" s="118">
        <f t="shared" si="15"/>
        <v>0</v>
      </c>
    </row>
    <row r="67" s="103" customFormat="1" ht="18.4" customHeight="1" spans="1:8">
      <c r="A67" s="119" t="s">
        <v>4266</v>
      </c>
      <c r="B67" s="36">
        <f t="shared" si="0"/>
        <v>565</v>
      </c>
      <c r="C67" s="36"/>
      <c r="D67" s="36"/>
      <c r="E67" s="36">
        <v>565</v>
      </c>
      <c r="F67" s="36"/>
      <c r="G67" s="36"/>
      <c r="H67" s="36"/>
    </row>
    <row r="68" s="103" customFormat="1" ht="18.4" customHeight="1" spans="1:8">
      <c r="A68" s="119" t="s">
        <v>4267</v>
      </c>
      <c r="B68" s="36">
        <f t="shared" si="0"/>
        <v>0</v>
      </c>
      <c r="C68" s="36"/>
      <c r="D68" s="36"/>
      <c r="E68" s="36"/>
      <c r="F68" s="36"/>
      <c r="G68" s="36"/>
      <c r="H68" s="36"/>
    </row>
    <row r="69" s="103" customFormat="1" ht="18.4" customHeight="1" spans="1:8">
      <c r="A69" s="119" t="s">
        <v>4268</v>
      </c>
      <c r="B69" s="36">
        <f t="shared" ref="B69:B84" si="16">SUM(C69:H69)</f>
        <v>0</v>
      </c>
      <c r="C69" s="36"/>
      <c r="D69" s="36"/>
      <c r="E69" s="36"/>
      <c r="F69" s="36"/>
      <c r="G69" s="36"/>
      <c r="H69" s="36"/>
    </row>
    <row r="70" s="103" customFormat="1" ht="18.4" customHeight="1" spans="1:8">
      <c r="A70" s="119" t="s">
        <v>4269</v>
      </c>
      <c r="B70" s="36">
        <f t="shared" si="16"/>
        <v>0</v>
      </c>
      <c r="C70" s="36"/>
      <c r="D70" s="36"/>
      <c r="E70" s="36"/>
      <c r="F70" s="36"/>
      <c r="G70" s="36"/>
      <c r="H70" s="36"/>
    </row>
    <row r="71" s="103" customFormat="1" ht="18.4" customHeight="1" spans="1:8">
      <c r="A71" s="119" t="s">
        <v>4270</v>
      </c>
      <c r="B71" s="36">
        <f t="shared" si="16"/>
        <v>1326</v>
      </c>
      <c r="C71" s="36"/>
      <c r="D71" s="36">
        <v>78</v>
      </c>
      <c r="E71" s="36">
        <v>1248</v>
      </c>
      <c r="F71" s="36"/>
      <c r="G71" s="36"/>
      <c r="H71" s="36"/>
    </row>
    <row r="72" s="103" customFormat="1" ht="18.4" customHeight="1" spans="1:8">
      <c r="A72" s="119" t="s">
        <v>4271</v>
      </c>
      <c r="B72" s="36">
        <f t="shared" si="16"/>
        <v>0</v>
      </c>
      <c r="C72" s="36"/>
      <c r="D72" s="36"/>
      <c r="E72" s="36"/>
      <c r="F72" s="36"/>
      <c r="G72" s="36"/>
      <c r="H72" s="36"/>
    </row>
    <row r="73" s="103" customFormat="1" ht="18.4" customHeight="1" spans="1:8">
      <c r="A73" s="117" t="s">
        <v>4297</v>
      </c>
      <c r="B73" s="118">
        <f t="shared" si="16"/>
        <v>0</v>
      </c>
      <c r="C73" s="118">
        <f t="shared" ref="C73:H73" si="17">SUM(C74:C76)</f>
        <v>0</v>
      </c>
      <c r="D73" s="118">
        <f t="shared" si="17"/>
        <v>0</v>
      </c>
      <c r="E73" s="118">
        <f t="shared" si="17"/>
        <v>0</v>
      </c>
      <c r="F73" s="118">
        <f t="shared" si="17"/>
        <v>0</v>
      </c>
      <c r="G73" s="118">
        <f t="shared" si="17"/>
        <v>0</v>
      </c>
      <c r="H73" s="118">
        <f t="shared" si="17"/>
        <v>0</v>
      </c>
    </row>
    <row r="74" s="103" customFormat="1" ht="18.4" customHeight="1" spans="1:8">
      <c r="A74" s="119" t="s">
        <v>956</v>
      </c>
      <c r="B74" s="36">
        <f t="shared" si="16"/>
        <v>0</v>
      </c>
      <c r="C74" s="36"/>
      <c r="D74" s="36"/>
      <c r="E74" s="36"/>
      <c r="F74" s="36"/>
      <c r="G74" s="36"/>
      <c r="H74" s="36"/>
    </row>
    <row r="75" s="103" customFormat="1" ht="18.4" customHeight="1" spans="1:8">
      <c r="A75" s="119" t="s">
        <v>957</v>
      </c>
      <c r="B75" s="36">
        <f t="shared" si="16"/>
        <v>0</v>
      </c>
      <c r="C75" s="36"/>
      <c r="D75" s="36"/>
      <c r="E75" s="36"/>
      <c r="F75" s="36"/>
      <c r="G75" s="36"/>
      <c r="H75" s="36"/>
    </row>
    <row r="76" s="103" customFormat="1" ht="18.4" customHeight="1" spans="1:8">
      <c r="A76" s="119" t="s">
        <v>4283</v>
      </c>
      <c r="B76" s="36">
        <f t="shared" si="16"/>
        <v>0</v>
      </c>
      <c r="C76" s="36"/>
      <c r="D76" s="36"/>
      <c r="E76" s="36"/>
      <c r="F76" s="36"/>
      <c r="G76" s="36"/>
      <c r="H76" s="36"/>
    </row>
    <row r="77" s="103" customFormat="1" ht="18.4" customHeight="1" spans="1:8">
      <c r="A77" s="117" t="s">
        <v>4272</v>
      </c>
      <c r="B77" s="118">
        <f t="shared" si="16"/>
        <v>1973</v>
      </c>
      <c r="C77" s="118">
        <f t="shared" ref="C77:H77" si="18">SUM(C78)</f>
        <v>1973</v>
      </c>
      <c r="D77" s="118">
        <f t="shared" si="18"/>
        <v>0</v>
      </c>
      <c r="E77" s="118">
        <f t="shared" si="18"/>
        <v>0</v>
      </c>
      <c r="F77" s="118">
        <f t="shared" si="18"/>
        <v>0</v>
      </c>
      <c r="G77" s="118">
        <f t="shared" si="18"/>
        <v>0</v>
      </c>
      <c r="H77" s="118">
        <f t="shared" si="18"/>
        <v>0</v>
      </c>
    </row>
    <row r="78" s="103" customFormat="1" ht="18.4" customHeight="1" spans="1:8">
      <c r="A78" s="119" t="s">
        <v>4273</v>
      </c>
      <c r="B78" s="36">
        <f t="shared" si="16"/>
        <v>1973</v>
      </c>
      <c r="C78" s="36">
        <v>1973</v>
      </c>
      <c r="D78" s="36"/>
      <c r="E78" s="36"/>
      <c r="F78" s="36"/>
      <c r="G78" s="36"/>
      <c r="H78" s="36"/>
    </row>
    <row r="79" s="103" customFormat="1" ht="18.4" customHeight="1" spans="1:8">
      <c r="A79" s="117" t="s">
        <v>4274</v>
      </c>
      <c r="B79" s="118">
        <f t="shared" si="16"/>
        <v>0</v>
      </c>
      <c r="C79" s="118">
        <f t="shared" ref="C79:H79" si="19">SUM(C80)</f>
        <v>0</v>
      </c>
      <c r="D79" s="118">
        <f t="shared" si="19"/>
        <v>0</v>
      </c>
      <c r="E79" s="118">
        <f t="shared" si="19"/>
        <v>0</v>
      </c>
      <c r="F79" s="118">
        <f t="shared" si="19"/>
        <v>0</v>
      </c>
      <c r="G79" s="118">
        <f t="shared" si="19"/>
        <v>0</v>
      </c>
      <c r="H79" s="118">
        <f t="shared" si="19"/>
        <v>0</v>
      </c>
    </row>
    <row r="80" s="103" customFormat="1" ht="18.4" customHeight="1" spans="1:8">
      <c r="A80" s="119" t="s">
        <v>4275</v>
      </c>
      <c r="B80" s="36">
        <f t="shared" si="16"/>
        <v>0</v>
      </c>
      <c r="C80" s="36"/>
      <c r="D80" s="36"/>
      <c r="E80" s="36"/>
      <c r="F80" s="36"/>
      <c r="G80" s="36"/>
      <c r="H80" s="36"/>
    </row>
    <row r="81" s="103" customFormat="1" ht="18.4" customHeight="1" spans="1:8">
      <c r="A81" s="117" t="s">
        <v>4276</v>
      </c>
      <c r="B81" s="118">
        <f t="shared" si="16"/>
        <v>0</v>
      </c>
      <c r="C81" s="118">
        <f t="shared" ref="C81:H81" si="20">SUM(C82:C83)</f>
        <v>0</v>
      </c>
      <c r="D81" s="118">
        <f t="shared" si="20"/>
        <v>0</v>
      </c>
      <c r="E81" s="118">
        <f t="shared" si="20"/>
        <v>0</v>
      </c>
      <c r="F81" s="118">
        <f t="shared" si="20"/>
        <v>0</v>
      </c>
      <c r="G81" s="118">
        <f t="shared" si="20"/>
        <v>0</v>
      </c>
      <c r="H81" s="118">
        <f t="shared" si="20"/>
        <v>0</v>
      </c>
    </row>
    <row r="82" s="103" customFormat="1" ht="18.4" customHeight="1" spans="1:8">
      <c r="A82" s="119" t="s">
        <v>4277</v>
      </c>
      <c r="B82" s="36">
        <f t="shared" si="16"/>
        <v>0</v>
      </c>
      <c r="C82" s="36"/>
      <c r="D82" s="36"/>
      <c r="E82" s="36"/>
      <c r="F82" s="36"/>
      <c r="G82" s="36"/>
      <c r="H82" s="36"/>
    </row>
    <row r="83" s="103" customFormat="1" ht="18.4" customHeight="1" spans="1:8">
      <c r="A83" s="119" t="s">
        <v>4278</v>
      </c>
      <c r="B83" s="36">
        <f t="shared" si="16"/>
        <v>0</v>
      </c>
      <c r="C83" s="36"/>
      <c r="D83" s="36"/>
      <c r="E83" s="36"/>
      <c r="F83" s="36"/>
      <c r="G83" s="36"/>
      <c r="H83" s="36"/>
    </row>
    <row r="84" s="103" customFormat="1" ht="18.4" customHeight="1" spans="1:8">
      <c r="A84" s="117" t="s">
        <v>4298</v>
      </c>
      <c r="B84" s="118">
        <f t="shared" si="16"/>
        <v>11463</v>
      </c>
      <c r="C84" s="118">
        <v>11463</v>
      </c>
      <c r="D84" s="118">
        <v>0</v>
      </c>
      <c r="E84" s="118">
        <v>0</v>
      </c>
      <c r="F84" s="118">
        <v>0</v>
      </c>
      <c r="G84" s="118">
        <v>0</v>
      </c>
      <c r="H84" s="118">
        <f>SUM(H85:H86)</f>
        <v>0</v>
      </c>
    </row>
    <row r="85" s="103" customFormat="1" ht="18.4" customHeight="1" spans="1:8">
      <c r="A85" s="119"/>
      <c r="B85" s="36"/>
      <c r="C85" s="36"/>
      <c r="D85" s="36"/>
      <c r="E85" s="36"/>
      <c r="F85" s="36"/>
      <c r="G85" s="36"/>
      <c r="H85" s="36"/>
    </row>
    <row r="86" s="103" customFormat="1" ht="18.4" customHeight="1" spans="1:8">
      <c r="A86" s="119"/>
      <c r="B86" s="36"/>
      <c r="C86" s="36"/>
      <c r="D86" s="36"/>
      <c r="E86" s="36"/>
      <c r="F86" s="36"/>
      <c r="G86" s="36"/>
      <c r="H86" s="36"/>
    </row>
    <row r="87" s="103" customFormat="1" ht="18.4" customHeight="1" spans="1:8">
      <c r="A87" s="122"/>
      <c r="B87" s="36">
        <f>SUM(C87:H87)</f>
        <v>0</v>
      </c>
      <c r="C87" s="36"/>
      <c r="D87" s="36"/>
      <c r="E87" s="36"/>
      <c r="F87" s="36"/>
      <c r="G87" s="36"/>
      <c r="H87" s="36"/>
    </row>
    <row r="88" s="104" customFormat="1" ht="18.4" customHeight="1" spans="1:8">
      <c r="A88" s="123" t="s">
        <v>215</v>
      </c>
      <c r="B88" s="124">
        <f>SUM(C88:H88)</f>
        <v>44958</v>
      </c>
      <c r="C88" s="124">
        <f t="shared" ref="C88:H88" si="21">C5+C7+C10+C15+C17+C21+C33+C43+C53+C56+C58+C60+C62+C64+C66+C73+C77+C79+C81+C84</f>
        <v>23600</v>
      </c>
      <c r="D88" s="124">
        <f t="shared" si="21"/>
        <v>1122</v>
      </c>
      <c r="E88" s="124">
        <f t="shared" si="21"/>
        <v>20236</v>
      </c>
      <c r="F88" s="124">
        <f t="shared" si="21"/>
        <v>0</v>
      </c>
      <c r="G88" s="124">
        <f t="shared" si="21"/>
        <v>0</v>
      </c>
      <c r="H88" s="124">
        <f t="shared" si="21"/>
        <v>0</v>
      </c>
    </row>
    <row r="89" ht="18.4"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sheetData>
  <mergeCells count="9">
    <mergeCell ref="A1:H1"/>
    <mergeCell ref="A3:A4"/>
    <mergeCell ref="B3:B4"/>
    <mergeCell ref="C3:C4"/>
    <mergeCell ref="D3:D4"/>
    <mergeCell ref="E3:E4"/>
    <mergeCell ref="F3:F4"/>
    <mergeCell ref="G3:G4"/>
    <mergeCell ref="H3:H4"/>
  </mergeCells>
  <printOptions horizontalCentered="1" verticalCentered="1"/>
  <pageMargins left="0.708661417322835" right="0.708661417322835" top="0.551181102362205" bottom="0.748031496062992" header="0.31496062992126" footer="0.31496062992126"/>
  <pageSetup paperSize="9" scale="63" orientation="portrait" blackAndWhite="1"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7"/>
  <sheetViews>
    <sheetView zoomScale="85" zoomScaleNormal="85" workbookViewId="0">
      <selection activeCell="F11" sqref="F11"/>
    </sheetView>
  </sheetViews>
  <sheetFormatPr defaultColWidth="12.125" defaultRowHeight="15"/>
  <cols>
    <col min="1" max="1" width="45.25" style="91" customWidth="1"/>
    <col min="2" max="2" width="20.5" style="91" customWidth="1"/>
    <col min="3" max="3" width="14.625" style="91" customWidth="1"/>
    <col min="4" max="4" width="15.625" style="91" customWidth="1"/>
    <col min="5" max="16384" width="12.125" style="91"/>
  </cols>
  <sheetData>
    <row r="1" s="91" customFormat="1" ht="18" customHeight="1" spans="1:4">
      <c r="A1" s="604" t="s">
        <v>38</v>
      </c>
      <c r="B1" s="94"/>
      <c r="C1" s="94"/>
      <c r="D1" s="94"/>
    </row>
    <row r="2" s="91" customFormat="1" ht="14.25" customHeight="1" spans="1:4">
      <c r="A2" s="95"/>
      <c r="B2" s="95"/>
      <c r="C2" s="95"/>
      <c r="D2" s="95"/>
    </row>
    <row r="3" s="91" customFormat="1" ht="31.5" customHeight="1" spans="1:4">
      <c r="A3" s="96"/>
      <c r="B3" s="96"/>
      <c r="C3" s="96"/>
      <c r="D3" s="96" t="s">
        <v>4184</v>
      </c>
    </row>
    <row r="4" s="91" customFormat="1" ht="30.75" customHeight="1" spans="1:4">
      <c r="A4" s="97" t="s">
        <v>52</v>
      </c>
      <c r="B4" s="97" t="s">
        <v>4299</v>
      </c>
      <c r="C4" s="97"/>
      <c r="D4" s="97"/>
    </row>
    <row r="5" s="92" customFormat="1" ht="27.75" customHeight="1" spans="1:256">
      <c r="A5" s="98"/>
      <c r="B5" s="98" t="s">
        <v>442</v>
      </c>
      <c r="C5" s="98" t="s">
        <v>4300</v>
      </c>
      <c r="D5" s="98" t="s">
        <v>4301</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c r="IS5" s="91"/>
      <c r="IT5" s="91"/>
      <c r="IU5" s="91"/>
      <c r="IV5" s="91"/>
    </row>
    <row r="6" s="92" customFormat="1" ht="30" customHeight="1" spans="1:256">
      <c r="A6" s="99" t="s">
        <v>4190</v>
      </c>
      <c r="B6" s="100">
        <v>49275</v>
      </c>
      <c r="C6" s="100">
        <v>49275</v>
      </c>
      <c r="D6" s="100"/>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row>
    <row r="7" s="92" customFormat="1" ht="30" customHeight="1" spans="1:256">
      <c r="A7" s="597" t="s">
        <v>4191</v>
      </c>
      <c r="B7" s="100">
        <v>67400</v>
      </c>
      <c r="C7" s="100"/>
      <c r="D7" s="100"/>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c r="IT7" s="91"/>
      <c r="IU7" s="91"/>
      <c r="IV7" s="91"/>
    </row>
    <row r="8" s="92" customFormat="1" ht="30" customHeight="1" spans="1:256">
      <c r="A8" s="597" t="s">
        <v>4302</v>
      </c>
      <c r="B8" s="100">
        <v>17866</v>
      </c>
      <c r="C8" s="100">
        <v>17866</v>
      </c>
      <c r="D8" s="100"/>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92" customFormat="1" ht="30" customHeight="1" spans="1:256">
      <c r="A9" s="597" t="s">
        <v>4303</v>
      </c>
      <c r="B9" s="100">
        <v>8423</v>
      </c>
      <c r="C9" s="100"/>
      <c r="D9" s="100">
        <v>8423</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c r="IU9" s="91"/>
      <c r="IV9" s="91"/>
    </row>
    <row r="10" s="92" customFormat="1" ht="30" customHeight="1" spans="1:256">
      <c r="A10" s="99" t="s">
        <v>4304</v>
      </c>
      <c r="B10" s="100">
        <v>-8423</v>
      </c>
      <c r="C10" s="100"/>
      <c r="D10" s="100">
        <v>-8423</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c r="IT10" s="91"/>
      <c r="IU10" s="91"/>
      <c r="IV10" s="91"/>
    </row>
    <row r="11" s="92" customFormat="1" ht="30" customHeight="1" spans="1:256">
      <c r="A11" s="99" t="s">
        <v>4195</v>
      </c>
      <c r="B11" s="100">
        <v>67141</v>
      </c>
      <c r="C11" s="100">
        <f>C6+C8-C9-C10</f>
        <v>67141</v>
      </c>
      <c r="D11" s="100">
        <v>0</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row>
    <row r="12" s="92" customFormat="1" ht="20.1" customHeight="1" spans="1:256">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c r="IR12" s="91"/>
      <c r="IS12" s="91"/>
      <c r="IT12" s="91"/>
      <c r="IU12" s="91"/>
      <c r="IV12" s="91"/>
    </row>
    <row r="13" s="92" customFormat="1" ht="20.1" customHeight="1" spans="1:256">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row>
    <row r="14" s="92" customFormat="1" ht="20.1" customHeight="1" spans="1:256">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row>
    <row r="15" s="92" customFormat="1" ht="20.1" customHeight="1" spans="1:256">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row>
    <row r="16" s="92" customFormat="1" ht="20.1" customHeight="1" spans="1:256">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row>
    <row r="17" s="92" customFormat="1" ht="20.1" customHeight="1" spans="1:256">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row>
    <row r="18" s="92" customFormat="1" ht="20.1" customHeight="1" spans="1:256">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c r="IU18" s="91"/>
      <c r="IV18" s="91"/>
    </row>
    <row r="19" s="92" customFormat="1" ht="20.1" customHeight="1" spans="1:256">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c r="IU19" s="91"/>
      <c r="IV19" s="91"/>
    </row>
    <row r="20" s="92" customFormat="1" ht="20.1" customHeight="1" spans="1:256">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c r="IT20" s="91"/>
      <c r="IU20" s="91"/>
      <c r="IV20" s="91"/>
    </row>
    <row r="21" s="92" customFormat="1" ht="20.1" customHeight="1" spans="1:256">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c r="IR21" s="91"/>
      <c r="IS21" s="91"/>
      <c r="IT21" s="91"/>
      <c r="IU21" s="91"/>
      <c r="IV21" s="91"/>
    </row>
    <row r="22" s="92" customFormat="1" ht="20.1" customHeight="1" spans="1:256">
      <c r="A22" s="9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c r="IR22" s="91"/>
      <c r="IS22" s="91"/>
      <c r="IT22" s="91"/>
      <c r="IU22" s="91"/>
      <c r="IV22" s="91"/>
    </row>
    <row r="23" s="92" customFormat="1" ht="20.1" customHeight="1" spans="1:256">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c r="IR23" s="91"/>
      <c r="IS23" s="91"/>
      <c r="IT23" s="91"/>
      <c r="IU23" s="91"/>
      <c r="IV23" s="91"/>
    </row>
    <row r="24" s="92" customFormat="1" ht="20.1" customHeight="1" spans="1:256">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c r="IR24" s="91"/>
      <c r="IS24" s="91"/>
      <c r="IT24" s="91"/>
      <c r="IU24" s="91"/>
      <c r="IV24" s="91"/>
    </row>
    <row r="25" s="92" customFormat="1" ht="20.1" customHeight="1" spans="1:256">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c r="IR25" s="91"/>
      <c r="IS25" s="91"/>
      <c r="IT25" s="91"/>
      <c r="IU25" s="91"/>
      <c r="IV25" s="91"/>
    </row>
    <row r="26" s="92" customFormat="1" ht="20.1" customHeight="1" spans="1:256">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c r="IT26" s="91"/>
      <c r="IU26" s="91"/>
      <c r="IV26" s="91"/>
    </row>
    <row r="27" s="92" customFormat="1" ht="20.1" customHeight="1" spans="1:256">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c r="IT27" s="91"/>
      <c r="IU27" s="91"/>
      <c r="IV27" s="91"/>
    </row>
    <row r="28" s="92" customFormat="1" ht="20.1" customHeight="1" spans="1:256">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c r="IR28" s="91"/>
      <c r="IS28" s="91"/>
      <c r="IT28" s="91"/>
      <c r="IU28" s="91"/>
      <c r="IV28" s="91"/>
    </row>
    <row r="29" s="92" customFormat="1" ht="20.1" customHeight="1" spans="1:256">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row>
    <row r="30" s="92" customFormat="1" ht="20.1" customHeight="1" spans="1:256">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c r="IQ30" s="91"/>
      <c r="IR30" s="91"/>
      <c r="IS30" s="91"/>
      <c r="IT30" s="91"/>
      <c r="IU30" s="91"/>
      <c r="IV30" s="91"/>
    </row>
    <row r="31" s="92" customFormat="1" ht="20.1" customHeight="1" spans="1:256">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91"/>
      <c r="FC31" s="91"/>
      <c r="FD31" s="91"/>
      <c r="FE31" s="91"/>
      <c r="FF31" s="91"/>
      <c r="FG31" s="91"/>
      <c r="FH31" s="91"/>
      <c r="FI31" s="91"/>
      <c r="FJ31" s="91"/>
      <c r="FK31" s="91"/>
      <c r="FL31" s="91"/>
      <c r="FM31" s="91"/>
      <c r="FN31" s="91"/>
      <c r="FO31" s="91"/>
      <c r="FP31" s="91"/>
      <c r="FQ31" s="91"/>
      <c r="FR31" s="91"/>
      <c r="FS31" s="91"/>
      <c r="FT31" s="91"/>
      <c r="FU31" s="91"/>
      <c r="FV31" s="91"/>
      <c r="FW31" s="91"/>
      <c r="FX31" s="91"/>
      <c r="FY31" s="91"/>
      <c r="FZ31" s="91"/>
      <c r="GA31" s="91"/>
      <c r="GB31" s="91"/>
      <c r="GC31" s="91"/>
      <c r="GD31" s="91"/>
      <c r="GE31" s="91"/>
      <c r="GF31" s="91"/>
      <c r="GG31" s="91"/>
      <c r="GH31" s="91"/>
      <c r="GI31" s="91"/>
      <c r="GJ31" s="91"/>
      <c r="GK31" s="91"/>
      <c r="GL31" s="91"/>
      <c r="GM31" s="91"/>
      <c r="GN31" s="91"/>
      <c r="GO31" s="91"/>
      <c r="GP31" s="91"/>
      <c r="GQ31" s="91"/>
      <c r="GR31" s="91"/>
      <c r="GS31" s="91"/>
      <c r="GT31" s="91"/>
      <c r="GU31" s="91"/>
      <c r="GV31" s="91"/>
      <c r="GW31" s="91"/>
      <c r="GX31" s="91"/>
      <c r="GY31" s="91"/>
      <c r="GZ31" s="91"/>
      <c r="HA31" s="91"/>
      <c r="HB31" s="91"/>
      <c r="HC31" s="91"/>
      <c r="HD31" s="91"/>
      <c r="HE31" s="91"/>
      <c r="HF31" s="91"/>
      <c r="HG31" s="91"/>
      <c r="HH31" s="91"/>
      <c r="HI31" s="91"/>
      <c r="HJ31" s="91"/>
      <c r="HK31" s="91"/>
      <c r="HL31" s="91"/>
      <c r="HM31" s="91"/>
      <c r="HN31" s="91"/>
      <c r="HO31" s="91"/>
      <c r="HP31" s="91"/>
      <c r="HQ31" s="91"/>
      <c r="HR31" s="91"/>
      <c r="HS31" s="91"/>
      <c r="HT31" s="91"/>
      <c r="HU31" s="91"/>
      <c r="HV31" s="91"/>
      <c r="HW31" s="91"/>
      <c r="HX31" s="91"/>
      <c r="HY31" s="91"/>
      <c r="HZ31" s="91"/>
      <c r="IA31" s="91"/>
      <c r="IB31" s="91"/>
      <c r="IC31" s="91"/>
      <c r="ID31" s="91"/>
      <c r="IE31" s="91"/>
      <c r="IF31" s="91"/>
      <c r="IG31" s="91"/>
      <c r="IH31" s="91"/>
      <c r="II31" s="91"/>
      <c r="IJ31" s="91"/>
      <c r="IK31" s="91"/>
      <c r="IL31" s="91"/>
      <c r="IM31" s="91"/>
      <c r="IN31" s="91"/>
      <c r="IO31" s="91"/>
      <c r="IP31" s="91"/>
      <c r="IQ31" s="91"/>
      <c r="IR31" s="91"/>
      <c r="IS31" s="91"/>
      <c r="IT31" s="91"/>
      <c r="IU31" s="91"/>
      <c r="IV31" s="91"/>
    </row>
    <row r="32" s="92" customFormat="1" ht="20.1" customHeight="1" spans="1:256">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c r="HQ32" s="91"/>
      <c r="HR32" s="91"/>
      <c r="HS32" s="91"/>
      <c r="HT32" s="91"/>
      <c r="HU32" s="91"/>
      <c r="HV32" s="91"/>
      <c r="HW32" s="91"/>
      <c r="HX32" s="91"/>
      <c r="HY32" s="91"/>
      <c r="HZ32" s="91"/>
      <c r="IA32" s="91"/>
      <c r="IB32" s="91"/>
      <c r="IC32" s="91"/>
      <c r="ID32" s="91"/>
      <c r="IE32" s="91"/>
      <c r="IF32" s="91"/>
      <c r="IG32" s="91"/>
      <c r="IH32" s="91"/>
      <c r="II32" s="91"/>
      <c r="IJ32" s="91"/>
      <c r="IK32" s="91"/>
      <c r="IL32" s="91"/>
      <c r="IM32" s="91"/>
      <c r="IN32" s="91"/>
      <c r="IO32" s="91"/>
      <c r="IP32" s="91"/>
      <c r="IQ32" s="91"/>
      <c r="IR32" s="91"/>
      <c r="IS32" s="91"/>
      <c r="IT32" s="91"/>
      <c r="IU32" s="91"/>
      <c r="IV32" s="91"/>
    </row>
    <row r="33" s="92" customFormat="1" ht="20.1" customHeight="1" spans="1:256">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c r="HQ33" s="91"/>
      <c r="HR33" s="91"/>
      <c r="HS33" s="91"/>
      <c r="HT33" s="91"/>
      <c r="HU33" s="91"/>
      <c r="HV33" s="91"/>
      <c r="HW33" s="91"/>
      <c r="HX33" s="91"/>
      <c r="HY33" s="91"/>
      <c r="HZ33" s="91"/>
      <c r="IA33" s="91"/>
      <c r="IB33" s="91"/>
      <c r="IC33" s="91"/>
      <c r="ID33" s="91"/>
      <c r="IE33" s="91"/>
      <c r="IF33" s="91"/>
      <c r="IG33" s="91"/>
      <c r="IH33" s="91"/>
      <c r="II33" s="91"/>
      <c r="IJ33" s="91"/>
      <c r="IK33" s="91"/>
      <c r="IL33" s="91"/>
      <c r="IM33" s="91"/>
      <c r="IN33" s="91"/>
      <c r="IO33" s="91"/>
      <c r="IP33" s="91"/>
      <c r="IQ33" s="91"/>
      <c r="IR33" s="91"/>
      <c r="IS33" s="91"/>
      <c r="IT33" s="91"/>
      <c r="IU33" s="91"/>
      <c r="IV33" s="91"/>
    </row>
    <row r="34" s="92" customFormat="1" ht="20.1" customHeight="1" spans="1:256">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c r="EO34" s="91"/>
      <c r="EP34" s="91"/>
      <c r="EQ34" s="91"/>
      <c r="ER34" s="91"/>
      <c r="ES34" s="91"/>
      <c r="ET34" s="91"/>
      <c r="EU34" s="91"/>
      <c r="EV34" s="91"/>
      <c r="EW34" s="91"/>
      <c r="EX34" s="91"/>
      <c r="EY34" s="91"/>
      <c r="EZ34" s="91"/>
      <c r="FA34" s="91"/>
      <c r="FB34" s="91"/>
      <c r="FC34" s="91"/>
      <c r="FD34" s="91"/>
      <c r="FE34" s="91"/>
      <c r="FF34" s="91"/>
      <c r="FG34" s="91"/>
      <c r="FH34" s="91"/>
      <c r="FI34" s="91"/>
      <c r="FJ34" s="91"/>
      <c r="FK34" s="91"/>
      <c r="FL34" s="91"/>
      <c r="FM34" s="91"/>
      <c r="FN34" s="91"/>
      <c r="FO34" s="91"/>
      <c r="FP34" s="91"/>
      <c r="FQ34" s="91"/>
      <c r="FR34" s="91"/>
      <c r="FS34" s="91"/>
      <c r="FT34" s="91"/>
      <c r="FU34" s="91"/>
      <c r="FV34" s="91"/>
      <c r="FW34" s="91"/>
      <c r="FX34" s="91"/>
      <c r="FY34" s="91"/>
      <c r="FZ34" s="91"/>
      <c r="GA34" s="91"/>
      <c r="GB34" s="91"/>
      <c r="GC34" s="91"/>
      <c r="GD34" s="91"/>
      <c r="GE34" s="91"/>
      <c r="GF34" s="91"/>
      <c r="GG34" s="91"/>
      <c r="GH34" s="91"/>
      <c r="GI34" s="91"/>
      <c r="GJ34" s="91"/>
      <c r="GK34" s="91"/>
      <c r="GL34" s="91"/>
      <c r="GM34" s="91"/>
      <c r="GN34" s="91"/>
      <c r="GO34" s="91"/>
      <c r="GP34" s="91"/>
      <c r="GQ34" s="91"/>
      <c r="GR34" s="91"/>
      <c r="GS34" s="91"/>
      <c r="GT34" s="91"/>
      <c r="GU34" s="91"/>
      <c r="GV34" s="91"/>
      <c r="GW34" s="91"/>
      <c r="GX34" s="91"/>
      <c r="GY34" s="91"/>
      <c r="GZ34" s="91"/>
      <c r="HA34" s="91"/>
      <c r="HB34" s="91"/>
      <c r="HC34" s="91"/>
      <c r="HD34" s="91"/>
      <c r="HE34" s="91"/>
      <c r="HF34" s="91"/>
      <c r="HG34" s="91"/>
      <c r="HH34" s="91"/>
      <c r="HI34" s="91"/>
      <c r="HJ34" s="91"/>
      <c r="HK34" s="91"/>
      <c r="HL34" s="91"/>
      <c r="HM34" s="91"/>
      <c r="HN34" s="91"/>
      <c r="HO34" s="91"/>
      <c r="HP34" s="91"/>
      <c r="HQ34" s="91"/>
      <c r="HR34" s="91"/>
      <c r="HS34" s="91"/>
      <c r="HT34" s="91"/>
      <c r="HU34" s="91"/>
      <c r="HV34" s="91"/>
      <c r="HW34" s="91"/>
      <c r="HX34" s="91"/>
      <c r="HY34" s="91"/>
      <c r="HZ34" s="91"/>
      <c r="IA34" s="91"/>
      <c r="IB34" s="91"/>
      <c r="IC34" s="91"/>
      <c r="ID34" s="91"/>
      <c r="IE34" s="91"/>
      <c r="IF34" s="91"/>
      <c r="IG34" s="91"/>
      <c r="IH34" s="91"/>
      <c r="II34" s="91"/>
      <c r="IJ34" s="91"/>
      <c r="IK34" s="91"/>
      <c r="IL34" s="91"/>
      <c r="IM34" s="91"/>
      <c r="IN34" s="91"/>
      <c r="IO34" s="91"/>
      <c r="IP34" s="91"/>
      <c r="IQ34" s="91"/>
      <c r="IR34" s="91"/>
      <c r="IS34" s="91"/>
      <c r="IT34" s="91"/>
      <c r="IU34" s="91"/>
      <c r="IV34" s="91"/>
    </row>
    <row r="35" s="92" customFormat="1" ht="20.1" customHeight="1" spans="1:256">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91"/>
      <c r="EX35" s="91"/>
      <c r="EY35" s="91"/>
      <c r="EZ35" s="91"/>
      <c r="FA35" s="91"/>
      <c r="FB35" s="91"/>
      <c r="FC35" s="91"/>
      <c r="FD35" s="91"/>
      <c r="FE35" s="91"/>
      <c r="FF35" s="91"/>
      <c r="FG35" s="91"/>
      <c r="FH35" s="91"/>
      <c r="FI35" s="91"/>
      <c r="FJ35" s="91"/>
      <c r="FK35" s="91"/>
      <c r="FL35" s="91"/>
      <c r="FM35" s="91"/>
      <c r="FN35" s="91"/>
      <c r="FO35" s="91"/>
      <c r="FP35" s="91"/>
      <c r="FQ35" s="91"/>
      <c r="FR35" s="91"/>
      <c r="FS35" s="91"/>
      <c r="FT35" s="91"/>
      <c r="FU35" s="91"/>
      <c r="FV35" s="91"/>
      <c r="FW35" s="91"/>
      <c r="FX35" s="91"/>
      <c r="FY35" s="91"/>
      <c r="FZ35" s="91"/>
      <c r="GA35" s="91"/>
      <c r="GB35" s="91"/>
      <c r="GC35" s="91"/>
      <c r="GD35" s="91"/>
      <c r="GE35" s="91"/>
      <c r="GF35" s="91"/>
      <c r="GG35" s="91"/>
      <c r="GH35" s="91"/>
      <c r="GI35" s="91"/>
      <c r="GJ35" s="91"/>
      <c r="GK35" s="91"/>
      <c r="GL35" s="91"/>
      <c r="GM35" s="91"/>
      <c r="GN35" s="91"/>
      <c r="GO35" s="91"/>
      <c r="GP35" s="91"/>
      <c r="GQ35" s="91"/>
      <c r="GR35" s="91"/>
      <c r="GS35" s="91"/>
      <c r="GT35" s="91"/>
      <c r="GU35" s="91"/>
      <c r="GV35" s="91"/>
      <c r="GW35" s="91"/>
      <c r="GX35" s="91"/>
      <c r="GY35" s="91"/>
      <c r="GZ35" s="91"/>
      <c r="HA35" s="91"/>
      <c r="HB35" s="91"/>
      <c r="HC35" s="91"/>
      <c r="HD35" s="91"/>
      <c r="HE35" s="91"/>
      <c r="HF35" s="91"/>
      <c r="HG35" s="91"/>
      <c r="HH35" s="91"/>
      <c r="HI35" s="91"/>
      <c r="HJ35" s="91"/>
      <c r="HK35" s="91"/>
      <c r="HL35" s="91"/>
      <c r="HM35" s="91"/>
      <c r="HN35" s="91"/>
      <c r="HO35" s="91"/>
      <c r="HP35" s="91"/>
      <c r="HQ35" s="91"/>
      <c r="HR35" s="91"/>
      <c r="HS35" s="91"/>
      <c r="HT35" s="91"/>
      <c r="HU35" s="91"/>
      <c r="HV35" s="91"/>
      <c r="HW35" s="91"/>
      <c r="HX35" s="91"/>
      <c r="HY35" s="91"/>
      <c r="HZ35" s="91"/>
      <c r="IA35" s="91"/>
      <c r="IB35" s="91"/>
      <c r="IC35" s="91"/>
      <c r="ID35" s="91"/>
      <c r="IE35" s="91"/>
      <c r="IF35" s="91"/>
      <c r="IG35" s="91"/>
      <c r="IH35" s="91"/>
      <c r="II35" s="91"/>
      <c r="IJ35" s="91"/>
      <c r="IK35" s="91"/>
      <c r="IL35" s="91"/>
      <c r="IM35" s="91"/>
      <c r="IN35" s="91"/>
      <c r="IO35" s="91"/>
      <c r="IP35" s="91"/>
      <c r="IQ35" s="91"/>
      <c r="IR35" s="91"/>
      <c r="IS35" s="91"/>
      <c r="IT35" s="91"/>
      <c r="IU35" s="91"/>
      <c r="IV35" s="91"/>
    </row>
    <row r="36" s="92" customFormat="1" ht="20.1" customHeight="1" spans="1:256">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91"/>
      <c r="GE36" s="91"/>
      <c r="GF36" s="91"/>
      <c r="GG36" s="91"/>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row>
    <row r="37" s="92" customFormat="1" ht="20.1" customHeight="1" spans="1:256">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91"/>
      <c r="GE37" s="91"/>
      <c r="GF37" s="91"/>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row>
    <row r="38" s="93" customFormat="1" ht="20.1" customHeight="1" spans="1:256">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c r="IG38" s="91"/>
      <c r="IH38" s="91"/>
      <c r="II38" s="91"/>
      <c r="IJ38" s="91"/>
      <c r="IK38" s="91"/>
      <c r="IL38" s="91"/>
      <c r="IM38" s="91"/>
      <c r="IN38" s="91"/>
      <c r="IO38" s="91"/>
      <c r="IP38" s="91"/>
      <c r="IQ38" s="91"/>
      <c r="IR38" s="91"/>
      <c r="IS38" s="91"/>
      <c r="IT38" s="91"/>
      <c r="IU38" s="91"/>
      <c r="IV38" s="91"/>
    </row>
    <row r="39" s="92" customFormat="1" ht="20.1" customHeight="1" spans="1:256">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c r="HV39" s="91"/>
      <c r="HW39" s="91"/>
      <c r="HX39" s="91"/>
      <c r="HY39" s="91"/>
      <c r="HZ39" s="91"/>
      <c r="IA39" s="91"/>
      <c r="IB39" s="91"/>
      <c r="IC39" s="91"/>
      <c r="ID39" s="91"/>
      <c r="IE39" s="91"/>
      <c r="IF39" s="91"/>
      <c r="IG39" s="91"/>
      <c r="IH39" s="91"/>
      <c r="II39" s="91"/>
      <c r="IJ39" s="91"/>
      <c r="IK39" s="91"/>
      <c r="IL39" s="91"/>
      <c r="IM39" s="91"/>
      <c r="IN39" s="91"/>
      <c r="IO39" s="91"/>
      <c r="IP39" s="91"/>
      <c r="IQ39" s="91"/>
      <c r="IR39" s="91"/>
      <c r="IS39" s="91"/>
      <c r="IT39" s="91"/>
      <c r="IU39" s="91"/>
      <c r="IV39" s="91"/>
    </row>
    <row r="40" s="92" customFormat="1" ht="20.1" customHeight="1" spans="1:256">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c r="IF40" s="91"/>
      <c r="IG40" s="91"/>
      <c r="IH40" s="91"/>
      <c r="II40" s="91"/>
      <c r="IJ40" s="91"/>
      <c r="IK40" s="91"/>
      <c r="IL40" s="91"/>
      <c r="IM40" s="91"/>
      <c r="IN40" s="91"/>
      <c r="IO40" s="91"/>
      <c r="IP40" s="91"/>
      <c r="IQ40" s="91"/>
      <c r="IR40" s="91"/>
      <c r="IS40" s="91"/>
      <c r="IT40" s="91"/>
      <c r="IU40" s="91"/>
      <c r="IV40" s="91"/>
    </row>
    <row r="41" s="92" customFormat="1" ht="20.1" customHeight="1" spans="1:256">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c r="EQ41" s="91"/>
      <c r="ER41" s="91"/>
      <c r="ES41" s="91"/>
      <c r="ET41" s="91"/>
      <c r="EU41" s="91"/>
      <c r="EV41" s="91"/>
      <c r="EW41" s="91"/>
      <c r="EX41" s="91"/>
      <c r="EY41" s="91"/>
      <c r="EZ41" s="91"/>
      <c r="FA41" s="91"/>
      <c r="FB41" s="91"/>
      <c r="FC41" s="91"/>
      <c r="FD41" s="91"/>
      <c r="FE41" s="91"/>
      <c r="FF41" s="91"/>
      <c r="FG41" s="91"/>
      <c r="FH41" s="91"/>
      <c r="FI41" s="91"/>
      <c r="FJ41" s="91"/>
      <c r="FK41" s="91"/>
      <c r="FL41" s="91"/>
      <c r="FM41" s="91"/>
      <c r="FN41" s="91"/>
      <c r="FO41" s="91"/>
      <c r="FP41" s="91"/>
      <c r="FQ41" s="91"/>
      <c r="FR41" s="91"/>
      <c r="FS41" s="91"/>
      <c r="FT41" s="91"/>
      <c r="FU41" s="91"/>
      <c r="FV41" s="91"/>
      <c r="FW41" s="91"/>
      <c r="FX41" s="91"/>
      <c r="FY41" s="91"/>
      <c r="FZ41" s="91"/>
      <c r="GA41" s="91"/>
      <c r="GB41" s="91"/>
      <c r="GC41" s="91"/>
      <c r="GD41" s="91"/>
      <c r="GE41" s="91"/>
      <c r="GF41" s="91"/>
      <c r="GG41" s="91"/>
      <c r="GH41" s="91"/>
      <c r="GI41" s="91"/>
      <c r="GJ41" s="91"/>
      <c r="GK41" s="91"/>
      <c r="GL41" s="91"/>
      <c r="GM41" s="91"/>
      <c r="GN41" s="91"/>
      <c r="GO41" s="91"/>
      <c r="GP41" s="91"/>
      <c r="GQ41" s="91"/>
      <c r="GR41" s="91"/>
      <c r="GS41" s="91"/>
      <c r="GT41" s="91"/>
      <c r="GU41" s="91"/>
      <c r="GV41" s="91"/>
      <c r="GW41" s="91"/>
      <c r="GX41" s="91"/>
      <c r="GY41" s="91"/>
      <c r="GZ41" s="91"/>
      <c r="HA41" s="91"/>
      <c r="HB41" s="91"/>
      <c r="HC41" s="91"/>
      <c r="HD41" s="91"/>
      <c r="HE41" s="91"/>
      <c r="HF41" s="91"/>
      <c r="HG41" s="91"/>
      <c r="HH41" s="91"/>
      <c r="HI41" s="91"/>
      <c r="HJ41" s="91"/>
      <c r="HK41" s="91"/>
      <c r="HL41" s="91"/>
      <c r="HM41" s="91"/>
      <c r="HN41" s="91"/>
      <c r="HO41" s="91"/>
      <c r="HP41" s="91"/>
      <c r="HQ41" s="91"/>
      <c r="HR41" s="91"/>
      <c r="HS41" s="91"/>
      <c r="HT41" s="91"/>
      <c r="HU41" s="91"/>
      <c r="HV41" s="91"/>
      <c r="HW41" s="91"/>
      <c r="HX41" s="91"/>
      <c r="HY41" s="91"/>
      <c r="HZ41" s="91"/>
      <c r="IA41" s="91"/>
      <c r="IB41" s="91"/>
      <c r="IC41" s="91"/>
      <c r="ID41" s="91"/>
      <c r="IE41" s="91"/>
      <c r="IF41" s="91"/>
      <c r="IG41" s="91"/>
      <c r="IH41" s="91"/>
      <c r="II41" s="91"/>
      <c r="IJ41" s="91"/>
      <c r="IK41" s="91"/>
      <c r="IL41" s="91"/>
      <c r="IM41" s="91"/>
      <c r="IN41" s="91"/>
      <c r="IO41" s="91"/>
      <c r="IP41" s="91"/>
      <c r="IQ41" s="91"/>
      <c r="IR41" s="91"/>
      <c r="IS41" s="91"/>
      <c r="IT41" s="91"/>
      <c r="IU41" s="91"/>
      <c r="IV41" s="91"/>
    </row>
    <row r="42" s="92" customFormat="1" ht="20.1" customHeight="1" spans="1:256">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c r="EQ42" s="91"/>
      <c r="ER42" s="91"/>
      <c r="ES42" s="91"/>
      <c r="ET42" s="91"/>
      <c r="EU42" s="91"/>
      <c r="EV42" s="91"/>
      <c r="EW42" s="91"/>
      <c r="EX42" s="91"/>
      <c r="EY42" s="91"/>
      <c r="EZ42" s="91"/>
      <c r="FA42" s="91"/>
      <c r="FB42" s="91"/>
      <c r="FC42" s="91"/>
      <c r="FD42" s="91"/>
      <c r="FE42" s="91"/>
      <c r="FF42" s="91"/>
      <c r="FG42" s="91"/>
      <c r="FH42" s="91"/>
      <c r="FI42" s="91"/>
      <c r="FJ42" s="91"/>
      <c r="FK42" s="91"/>
      <c r="FL42" s="91"/>
      <c r="FM42" s="91"/>
      <c r="FN42" s="91"/>
      <c r="FO42" s="91"/>
      <c r="FP42" s="91"/>
      <c r="FQ42" s="91"/>
      <c r="FR42" s="91"/>
      <c r="FS42" s="91"/>
      <c r="FT42" s="91"/>
      <c r="FU42" s="91"/>
      <c r="FV42" s="91"/>
      <c r="FW42" s="91"/>
      <c r="FX42" s="91"/>
      <c r="FY42" s="91"/>
      <c r="FZ42" s="91"/>
      <c r="GA42" s="91"/>
      <c r="GB42" s="91"/>
      <c r="GC42" s="91"/>
      <c r="GD42" s="91"/>
      <c r="GE42" s="91"/>
      <c r="GF42" s="91"/>
      <c r="GG42" s="91"/>
      <c r="GH42" s="91"/>
      <c r="GI42" s="91"/>
      <c r="GJ42" s="91"/>
      <c r="GK42" s="91"/>
      <c r="GL42" s="91"/>
      <c r="GM42" s="91"/>
      <c r="GN42" s="91"/>
      <c r="GO42" s="91"/>
      <c r="GP42" s="91"/>
      <c r="GQ42" s="91"/>
      <c r="GR42" s="91"/>
      <c r="GS42" s="91"/>
      <c r="GT42" s="91"/>
      <c r="GU42" s="91"/>
      <c r="GV42" s="91"/>
      <c r="GW42" s="91"/>
      <c r="GX42" s="91"/>
      <c r="GY42" s="91"/>
      <c r="GZ42" s="91"/>
      <c r="HA42" s="91"/>
      <c r="HB42" s="91"/>
      <c r="HC42" s="91"/>
      <c r="HD42" s="91"/>
      <c r="HE42" s="91"/>
      <c r="HF42" s="91"/>
      <c r="HG42" s="91"/>
      <c r="HH42" s="91"/>
      <c r="HI42" s="91"/>
      <c r="HJ42" s="91"/>
      <c r="HK42" s="91"/>
      <c r="HL42" s="91"/>
      <c r="HM42" s="91"/>
      <c r="HN42" s="91"/>
      <c r="HO42" s="91"/>
      <c r="HP42" s="91"/>
      <c r="HQ42" s="91"/>
      <c r="HR42" s="91"/>
      <c r="HS42" s="91"/>
      <c r="HT42" s="91"/>
      <c r="HU42" s="91"/>
      <c r="HV42" s="91"/>
      <c r="HW42" s="91"/>
      <c r="HX42" s="91"/>
      <c r="HY42" s="91"/>
      <c r="HZ42" s="91"/>
      <c r="IA42" s="91"/>
      <c r="IB42" s="91"/>
      <c r="IC42" s="91"/>
      <c r="ID42" s="91"/>
      <c r="IE42" s="91"/>
      <c r="IF42" s="91"/>
      <c r="IG42" s="91"/>
      <c r="IH42" s="91"/>
      <c r="II42" s="91"/>
      <c r="IJ42" s="91"/>
      <c r="IK42" s="91"/>
      <c r="IL42" s="91"/>
      <c r="IM42" s="91"/>
      <c r="IN42" s="91"/>
      <c r="IO42" s="91"/>
      <c r="IP42" s="91"/>
      <c r="IQ42" s="91"/>
      <c r="IR42" s="91"/>
      <c r="IS42" s="91"/>
      <c r="IT42" s="91"/>
      <c r="IU42" s="91"/>
      <c r="IV42" s="91"/>
    </row>
    <row r="43" s="92" customFormat="1" ht="20.1" customHeight="1" spans="1:256">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c r="EO43" s="91"/>
      <c r="EP43" s="91"/>
      <c r="EQ43" s="91"/>
      <c r="ER43" s="91"/>
      <c r="ES43" s="91"/>
      <c r="ET43" s="91"/>
      <c r="EU43" s="91"/>
      <c r="EV43" s="91"/>
      <c r="EW43" s="91"/>
      <c r="EX43" s="91"/>
      <c r="EY43" s="91"/>
      <c r="EZ43" s="91"/>
      <c r="FA43" s="91"/>
      <c r="FB43" s="91"/>
      <c r="FC43" s="91"/>
      <c r="FD43" s="91"/>
      <c r="FE43" s="91"/>
      <c r="FF43" s="91"/>
      <c r="FG43" s="91"/>
      <c r="FH43" s="91"/>
      <c r="FI43" s="91"/>
      <c r="FJ43" s="91"/>
      <c r="FK43" s="91"/>
      <c r="FL43" s="91"/>
      <c r="FM43" s="91"/>
      <c r="FN43" s="91"/>
      <c r="FO43" s="91"/>
      <c r="FP43" s="91"/>
      <c r="FQ43" s="91"/>
      <c r="FR43" s="91"/>
      <c r="FS43" s="91"/>
      <c r="FT43" s="91"/>
      <c r="FU43" s="91"/>
      <c r="FV43" s="91"/>
      <c r="FW43" s="91"/>
      <c r="FX43" s="91"/>
      <c r="FY43" s="91"/>
      <c r="FZ43" s="91"/>
      <c r="GA43" s="91"/>
      <c r="GB43" s="91"/>
      <c r="GC43" s="91"/>
      <c r="GD43" s="91"/>
      <c r="GE43" s="91"/>
      <c r="GF43" s="91"/>
      <c r="GG43" s="91"/>
      <c r="GH43" s="91"/>
      <c r="GI43" s="91"/>
      <c r="GJ43" s="91"/>
      <c r="GK43" s="91"/>
      <c r="GL43" s="91"/>
      <c r="GM43" s="91"/>
      <c r="GN43" s="91"/>
      <c r="GO43" s="91"/>
      <c r="GP43" s="91"/>
      <c r="GQ43" s="91"/>
      <c r="GR43" s="91"/>
      <c r="GS43" s="91"/>
      <c r="GT43" s="91"/>
      <c r="GU43" s="91"/>
      <c r="GV43" s="91"/>
      <c r="GW43" s="91"/>
      <c r="GX43" s="91"/>
      <c r="GY43" s="91"/>
      <c r="GZ43" s="91"/>
      <c r="HA43" s="91"/>
      <c r="HB43" s="91"/>
      <c r="HC43" s="91"/>
      <c r="HD43" s="91"/>
      <c r="HE43" s="91"/>
      <c r="HF43" s="91"/>
      <c r="HG43" s="91"/>
      <c r="HH43" s="91"/>
      <c r="HI43" s="91"/>
      <c r="HJ43" s="91"/>
      <c r="HK43" s="91"/>
      <c r="HL43" s="91"/>
      <c r="HM43" s="91"/>
      <c r="HN43" s="91"/>
      <c r="HO43" s="91"/>
      <c r="HP43" s="91"/>
      <c r="HQ43" s="91"/>
      <c r="HR43" s="91"/>
      <c r="HS43" s="91"/>
      <c r="HT43" s="91"/>
      <c r="HU43" s="91"/>
      <c r="HV43" s="91"/>
      <c r="HW43" s="91"/>
      <c r="HX43" s="91"/>
      <c r="HY43" s="91"/>
      <c r="HZ43" s="91"/>
      <c r="IA43" s="91"/>
      <c r="IB43" s="91"/>
      <c r="IC43" s="91"/>
      <c r="ID43" s="91"/>
      <c r="IE43" s="91"/>
      <c r="IF43" s="91"/>
      <c r="IG43" s="91"/>
      <c r="IH43" s="91"/>
      <c r="II43" s="91"/>
      <c r="IJ43" s="91"/>
      <c r="IK43" s="91"/>
      <c r="IL43" s="91"/>
      <c r="IM43" s="91"/>
      <c r="IN43" s="91"/>
      <c r="IO43" s="91"/>
      <c r="IP43" s="91"/>
      <c r="IQ43" s="91"/>
      <c r="IR43" s="91"/>
      <c r="IS43" s="91"/>
      <c r="IT43" s="91"/>
      <c r="IU43" s="91"/>
      <c r="IV43" s="91"/>
    </row>
    <row r="44" s="92" customFormat="1" ht="20.1" customHeight="1" spans="1:256">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c r="HO44" s="91"/>
      <c r="HP44" s="91"/>
      <c r="HQ44" s="91"/>
      <c r="HR44" s="91"/>
      <c r="HS44" s="91"/>
      <c r="HT44" s="91"/>
      <c r="HU44" s="91"/>
      <c r="HV44" s="91"/>
      <c r="HW44" s="91"/>
      <c r="HX44" s="91"/>
      <c r="HY44" s="91"/>
      <c r="HZ44" s="91"/>
      <c r="IA44" s="91"/>
      <c r="IB44" s="91"/>
      <c r="IC44" s="91"/>
      <c r="ID44" s="91"/>
      <c r="IE44" s="91"/>
      <c r="IF44" s="91"/>
      <c r="IG44" s="91"/>
      <c r="IH44" s="91"/>
      <c r="II44" s="91"/>
      <c r="IJ44" s="91"/>
      <c r="IK44" s="91"/>
      <c r="IL44" s="91"/>
      <c r="IM44" s="91"/>
      <c r="IN44" s="91"/>
      <c r="IO44" s="91"/>
      <c r="IP44" s="91"/>
      <c r="IQ44" s="91"/>
      <c r="IR44" s="91"/>
      <c r="IS44" s="91"/>
      <c r="IT44" s="91"/>
      <c r="IU44" s="91"/>
      <c r="IV44" s="91"/>
    </row>
    <row r="45" s="92" customFormat="1" ht="20.1" customHeight="1" spans="1:256">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c r="HG45" s="91"/>
      <c r="HH45" s="91"/>
      <c r="HI45" s="91"/>
      <c r="HJ45" s="91"/>
      <c r="HK45" s="91"/>
      <c r="HL45" s="91"/>
      <c r="HM45" s="91"/>
      <c r="HN45" s="91"/>
      <c r="HO45" s="91"/>
      <c r="HP45" s="91"/>
      <c r="HQ45" s="91"/>
      <c r="HR45" s="91"/>
      <c r="HS45" s="91"/>
      <c r="HT45" s="91"/>
      <c r="HU45" s="91"/>
      <c r="HV45" s="91"/>
      <c r="HW45" s="91"/>
      <c r="HX45" s="91"/>
      <c r="HY45" s="91"/>
      <c r="HZ45" s="91"/>
      <c r="IA45" s="91"/>
      <c r="IB45" s="91"/>
      <c r="IC45" s="91"/>
      <c r="ID45" s="91"/>
      <c r="IE45" s="91"/>
      <c r="IF45" s="91"/>
      <c r="IG45" s="91"/>
      <c r="IH45" s="91"/>
      <c r="II45" s="91"/>
      <c r="IJ45" s="91"/>
      <c r="IK45" s="91"/>
      <c r="IL45" s="91"/>
      <c r="IM45" s="91"/>
      <c r="IN45" s="91"/>
      <c r="IO45" s="91"/>
      <c r="IP45" s="91"/>
      <c r="IQ45" s="91"/>
      <c r="IR45" s="91"/>
      <c r="IS45" s="91"/>
      <c r="IT45" s="91"/>
      <c r="IU45" s="91"/>
      <c r="IV45" s="91"/>
    </row>
    <row r="46" s="92" customFormat="1" ht="20.1" customHeight="1" spans="1:256">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c r="EO46" s="91"/>
      <c r="EP46" s="91"/>
      <c r="EQ46" s="91"/>
      <c r="ER46" s="91"/>
      <c r="ES46" s="91"/>
      <c r="ET46" s="91"/>
      <c r="EU46" s="91"/>
      <c r="EV46" s="91"/>
      <c r="EW46" s="91"/>
      <c r="EX46" s="91"/>
      <c r="EY46" s="91"/>
      <c r="EZ46" s="91"/>
      <c r="FA46" s="91"/>
      <c r="FB46" s="91"/>
      <c r="FC46" s="91"/>
      <c r="FD46" s="91"/>
      <c r="FE46" s="91"/>
      <c r="FF46" s="91"/>
      <c r="FG46" s="91"/>
      <c r="FH46" s="91"/>
      <c r="FI46" s="91"/>
      <c r="FJ46" s="91"/>
      <c r="FK46" s="91"/>
      <c r="FL46" s="91"/>
      <c r="FM46" s="91"/>
      <c r="FN46" s="91"/>
      <c r="FO46" s="91"/>
      <c r="FP46" s="91"/>
      <c r="FQ46" s="91"/>
      <c r="FR46" s="91"/>
      <c r="FS46" s="91"/>
      <c r="FT46" s="91"/>
      <c r="FU46" s="91"/>
      <c r="FV46" s="91"/>
      <c r="FW46" s="91"/>
      <c r="FX46" s="91"/>
      <c r="FY46" s="91"/>
      <c r="FZ46" s="91"/>
      <c r="GA46" s="91"/>
      <c r="GB46" s="91"/>
      <c r="GC46" s="91"/>
      <c r="GD46" s="91"/>
      <c r="GE46" s="91"/>
      <c r="GF46" s="91"/>
      <c r="GG46" s="91"/>
      <c r="GH46" s="91"/>
      <c r="GI46" s="91"/>
      <c r="GJ46" s="91"/>
      <c r="GK46" s="91"/>
      <c r="GL46" s="91"/>
      <c r="GM46" s="91"/>
      <c r="GN46" s="91"/>
      <c r="GO46" s="91"/>
      <c r="GP46" s="91"/>
      <c r="GQ46" s="91"/>
      <c r="GR46" s="91"/>
      <c r="GS46" s="91"/>
      <c r="GT46" s="91"/>
      <c r="GU46" s="91"/>
      <c r="GV46" s="91"/>
      <c r="GW46" s="91"/>
      <c r="GX46" s="91"/>
      <c r="GY46" s="91"/>
      <c r="GZ46" s="91"/>
      <c r="HA46" s="91"/>
      <c r="HB46" s="91"/>
      <c r="HC46" s="91"/>
      <c r="HD46" s="91"/>
      <c r="HE46" s="91"/>
      <c r="HF46" s="91"/>
      <c r="HG46" s="91"/>
      <c r="HH46" s="91"/>
      <c r="HI46" s="91"/>
      <c r="HJ46" s="91"/>
      <c r="HK46" s="91"/>
      <c r="HL46" s="91"/>
      <c r="HM46" s="91"/>
      <c r="HN46" s="91"/>
      <c r="HO46" s="91"/>
      <c r="HP46" s="91"/>
      <c r="HQ46" s="91"/>
      <c r="HR46" s="91"/>
      <c r="HS46" s="91"/>
      <c r="HT46" s="91"/>
      <c r="HU46" s="91"/>
      <c r="HV46" s="91"/>
      <c r="HW46" s="91"/>
      <c r="HX46" s="91"/>
      <c r="HY46" s="91"/>
      <c r="HZ46" s="91"/>
      <c r="IA46" s="91"/>
      <c r="IB46" s="91"/>
      <c r="IC46" s="91"/>
      <c r="ID46" s="91"/>
      <c r="IE46" s="91"/>
      <c r="IF46" s="91"/>
      <c r="IG46" s="91"/>
      <c r="IH46" s="91"/>
      <c r="II46" s="91"/>
      <c r="IJ46" s="91"/>
      <c r="IK46" s="91"/>
      <c r="IL46" s="91"/>
      <c r="IM46" s="91"/>
      <c r="IN46" s="91"/>
      <c r="IO46" s="91"/>
      <c r="IP46" s="91"/>
      <c r="IQ46" s="91"/>
      <c r="IR46" s="91"/>
      <c r="IS46" s="91"/>
      <c r="IT46" s="91"/>
      <c r="IU46" s="91"/>
      <c r="IV46" s="91"/>
    </row>
    <row r="47" s="92" customFormat="1" ht="20.1" customHeight="1" spans="1:256">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c r="EO47" s="91"/>
      <c r="EP47" s="91"/>
      <c r="EQ47" s="91"/>
      <c r="ER47" s="91"/>
      <c r="ES47" s="91"/>
      <c r="ET47" s="91"/>
      <c r="EU47" s="91"/>
      <c r="EV47" s="91"/>
      <c r="EW47" s="91"/>
      <c r="EX47" s="91"/>
      <c r="EY47" s="91"/>
      <c r="EZ47" s="91"/>
      <c r="FA47" s="91"/>
      <c r="FB47" s="91"/>
      <c r="FC47" s="91"/>
      <c r="FD47" s="91"/>
      <c r="FE47" s="91"/>
      <c r="FF47" s="91"/>
      <c r="FG47" s="91"/>
      <c r="FH47" s="91"/>
      <c r="FI47" s="91"/>
      <c r="FJ47" s="91"/>
      <c r="FK47" s="91"/>
      <c r="FL47" s="91"/>
      <c r="FM47" s="91"/>
      <c r="FN47" s="91"/>
      <c r="FO47" s="91"/>
      <c r="FP47" s="91"/>
      <c r="FQ47" s="91"/>
      <c r="FR47" s="91"/>
      <c r="FS47" s="91"/>
      <c r="FT47" s="91"/>
      <c r="FU47" s="91"/>
      <c r="FV47" s="91"/>
      <c r="FW47" s="91"/>
      <c r="FX47" s="91"/>
      <c r="FY47" s="91"/>
      <c r="FZ47" s="91"/>
      <c r="GA47" s="91"/>
      <c r="GB47" s="91"/>
      <c r="GC47" s="91"/>
      <c r="GD47" s="91"/>
      <c r="GE47" s="91"/>
      <c r="GF47" s="91"/>
      <c r="GG47" s="91"/>
      <c r="GH47" s="91"/>
      <c r="GI47" s="91"/>
      <c r="GJ47" s="91"/>
      <c r="GK47" s="91"/>
      <c r="GL47" s="91"/>
      <c r="GM47" s="91"/>
      <c r="GN47" s="91"/>
      <c r="GO47" s="91"/>
      <c r="GP47" s="91"/>
      <c r="GQ47" s="91"/>
      <c r="GR47" s="91"/>
      <c r="GS47" s="91"/>
      <c r="GT47" s="91"/>
      <c r="GU47" s="91"/>
      <c r="GV47" s="91"/>
      <c r="GW47" s="91"/>
      <c r="GX47" s="91"/>
      <c r="GY47" s="91"/>
      <c r="GZ47" s="91"/>
      <c r="HA47" s="91"/>
      <c r="HB47" s="91"/>
      <c r="HC47" s="91"/>
      <c r="HD47" s="91"/>
      <c r="HE47" s="91"/>
      <c r="HF47" s="91"/>
      <c r="HG47" s="91"/>
      <c r="HH47" s="91"/>
      <c r="HI47" s="91"/>
      <c r="HJ47" s="91"/>
      <c r="HK47" s="91"/>
      <c r="HL47" s="91"/>
      <c r="HM47" s="91"/>
      <c r="HN47" s="91"/>
      <c r="HO47" s="91"/>
      <c r="HP47" s="91"/>
      <c r="HQ47" s="91"/>
      <c r="HR47" s="91"/>
      <c r="HS47" s="91"/>
      <c r="HT47" s="91"/>
      <c r="HU47" s="91"/>
      <c r="HV47" s="91"/>
      <c r="HW47" s="91"/>
      <c r="HX47" s="91"/>
      <c r="HY47" s="91"/>
      <c r="HZ47" s="91"/>
      <c r="IA47" s="91"/>
      <c r="IB47" s="91"/>
      <c r="IC47" s="91"/>
      <c r="ID47" s="91"/>
      <c r="IE47" s="91"/>
      <c r="IF47" s="91"/>
      <c r="IG47" s="91"/>
      <c r="IH47" s="91"/>
      <c r="II47" s="91"/>
      <c r="IJ47" s="91"/>
      <c r="IK47" s="91"/>
      <c r="IL47" s="91"/>
      <c r="IM47" s="91"/>
      <c r="IN47" s="91"/>
      <c r="IO47" s="91"/>
      <c r="IP47" s="91"/>
      <c r="IQ47" s="91"/>
      <c r="IR47" s="91"/>
      <c r="IS47" s="91"/>
      <c r="IT47" s="91"/>
      <c r="IU47" s="91"/>
      <c r="IV47" s="91"/>
    </row>
    <row r="48" s="92" customFormat="1" ht="20.1" customHeight="1" spans="1:256">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c r="EO48" s="91"/>
      <c r="EP48" s="91"/>
      <c r="EQ48" s="91"/>
      <c r="ER48" s="91"/>
      <c r="ES48" s="91"/>
      <c r="ET48" s="91"/>
      <c r="EU48" s="91"/>
      <c r="EV48" s="91"/>
      <c r="EW48" s="91"/>
      <c r="EX48" s="91"/>
      <c r="EY48" s="91"/>
      <c r="EZ48" s="91"/>
      <c r="FA48" s="91"/>
      <c r="FB48" s="91"/>
      <c r="FC48" s="91"/>
      <c r="FD48" s="91"/>
      <c r="FE48" s="91"/>
      <c r="FF48" s="91"/>
      <c r="FG48" s="91"/>
      <c r="FH48" s="91"/>
      <c r="FI48" s="91"/>
      <c r="FJ48" s="91"/>
      <c r="FK48" s="91"/>
      <c r="FL48" s="91"/>
      <c r="FM48" s="91"/>
      <c r="FN48" s="91"/>
      <c r="FO48" s="91"/>
      <c r="FP48" s="91"/>
      <c r="FQ48" s="91"/>
      <c r="FR48" s="91"/>
      <c r="FS48" s="91"/>
      <c r="FT48" s="91"/>
      <c r="FU48" s="91"/>
      <c r="FV48" s="91"/>
      <c r="FW48" s="91"/>
      <c r="FX48" s="91"/>
      <c r="FY48" s="91"/>
      <c r="FZ48" s="91"/>
      <c r="GA48" s="91"/>
      <c r="GB48" s="91"/>
      <c r="GC48" s="91"/>
      <c r="GD48" s="91"/>
      <c r="GE48" s="91"/>
      <c r="GF48" s="91"/>
      <c r="GG48" s="91"/>
      <c r="GH48" s="91"/>
      <c r="GI48" s="91"/>
      <c r="GJ48" s="91"/>
      <c r="GK48" s="91"/>
      <c r="GL48" s="91"/>
      <c r="GM48" s="91"/>
      <c r="GN48" s="91"/>
      <c r="GO48" s="91"/>
      <c r="GP48" s="91"/>
      <c r="GQ48" s="91"/>
      <c r="GR48" s="91"/>
      <c r="GS48" s="91"/>
      <c r="GT48" s="91"/>
      <c r="GU48" s="91"/>
      <c r="GV48" s="91"/>
      <c r="GW48" s="91"/>
      <c r="GX48" s="91"/>
      <c r="GY48" s="91"/>
      <c r="GZ48" s="91"/>
      <c r="HA48" s="91"/>
      <c r="HB48" s="91"/>
      <c r="HC48" s="91"/>
      <c r="HD48" s="91"/>
      <c r="HE48" s="91"/>
      <c r="HF48" s="91"/>
      <c r="HG48" s="91"/>
      <c r="HH48" s="91"/>
      <c r="HI48" s="91"/>
      <c r="HJ48" s="91"/>
      <c r="HK48" s="91"/>
      <c r="HL48" s="91"/>
      <c r="HM48" s="91"/>
      <c r="HN48" s="91"/>
      <c r="HO48" s="91"/>
      <c r="HP48" s="91"/>
      <c r="HQ48" s="91"/>
      <c r="HR48" s="91"/>
      <c r="HS48" s="91"/>
      <c r="HT48" s="91"/>
      <c r="HU48" s="91"/>
      <c r="HV48" s="91"/>
      <c r="HW48" s="91"/>
      <c r="HX48" s="91"/>
      <c r="HY48" s="91"/>
      <c r="HZ48" s="91"/>
      <c r="IA48" s="91"/>
      <c r="IB48" s="91"/>
      <c r="IC48" s="91"/>
      <c r="ID48" s="91"/>
      <c r="IE48" s="91"/>
      <c r="IF48" s="91"/>
      <c r="IG48" s="91"/>
      <c r="IH48" s="91"/>
      <c r="II48" s="91"/>
      <c r="IJ48" s="91"/>
      <c r="IK48" s="91"/>
      <c r="IL48" s="91"/>
      <c r="IM48" s="91"/>
      <c r="IN48" s="91"/>
      <c r="IO48" s="91"/>
      <c r="IP48" s="91"/>
      <c r="IQ48" s="91"/>
      <c r="IR48" s="91"/>
      <c r="IS48" s="91"/>
      <c r="IT48" s="91"/>
      <c r="IU48" s="91"/>
      <c r="IV48" s="91"/>
    </row>
    <row r="49" s="92" customFormat="1" ht="20.1" customHeight="1" spans="1:256">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c r="EO49" s="91"/>
      <c r="EP49" s="91"/>
      <c r="EQ49" s="91"/>
      <c r="ER49" s="91"/>
      <c r="ES49" s="91"/>
      <c r="ET49" s="91"/>
      <c r="EU49" s="91"/>
      <c r="EV49" s="91"/>
      <c r="EW49" s="91"/>
      <c r="EX49" s="91"/>
      <c r="EY49" s="91"/>
      <c r="EZ49" s="91"/>
      <c r="FA49" s="91"/>
      <c r="FB49" s="91"/>
      <c r="FC49" s="91"/>
      <c r="FD49" s="91"/>
      <c r="FE49" s="91"/>
      <c r="FF49" s="91"/>
      <c r="FG49" s="91"/>
      <c r="FH49" s="91"/>
      <c r="FI49" s="91"/>
      <c r="FJ49" s="91"/>
      <c r="FK49" s="91"/>
      <c r="FL49" s="91"/>
      <c r="FM49" s="91"/>
      <c r="FN49" s="91"/>
      <c r="FO49" s="91"/>
      <c r="FP49" s="91"/>
      <c r="FQ49" s="91"/>
      <c r="FR49" s="91"/>
      <c r="FS49" s="91"/>
      <c r="FT49" s="91"/>
      <c r="FU49" s="91"/>
      <c r="FV49" s="91"/>
      <c r="FW49" s="91"/>
      <c r="FX49" s="91"/>
      <c r="FY49" s="91"/>
      <c r="FZ49" s="91"/>
      <c r="GA49" s="91"/>
      <c r="GB49" s="91"/>
      <c r="GC49" s="91"/>
      <c r="GD49" s="91"/>
      <c r="GE49" s="91"/>
      <c r="GF49" s="91"/>
      <c r="GG49" s="91"/>
      <c r="GH49" s="91"/>
      <c r="GI49" s="91"/>
      <c r="GJ49" s="91"/>
      <c r="GK49" s="91"/>
      <c r="GL49" s="91"/>
      <c r="GM49" s="91"/>
      <c r="GN49" s="91"/>
      <c r="GO49" s="91"/>
      <c r="GP49" s="91"/>
      <c r="GQ49" s="91"/>
      <c r="GR49" s="91"/>
      <c r="GS49" s="91"/>
      <c r="GT49" s="91"/>
      <c r="GU49" s="91"/>
      <c r="GV49" s="91"/>
      <c r="GW49" s="91"/>
      <c r="GX49" s="91"/>
      <c r="GY49" s="91"/>
      <c r="GZ49" s="91"/>
      <c r="HA49" s="91"/>
      <c r="HB49" s="91"/>
      <c r="HC49" s="91"/>
      <c r="HD49" s="91"/>
      <c r="HE49" s="91"/>
      <c r="HF49" s="91"/>
      <c r="HG49" s="91"/>
      <c r="HH49" s="91"/>
      <c r="HI49" s="91"/>
      <c r="HJ49" s="91"/>
      <c r="HK49" s="91"/>
      <c r="HL49" s="91"/>
      <c r="HM49" s="91"/>
      <c r="HN49" s="91"/>
      <c r="HO49" s="91"/>
      <c r="HP49" s="91"/>
      <c r="HQ49" s="91"/>
      <c r="HR49" s="91"/>
      <c r="HS49" s="91"/>
      <c r="HT49" s="91"/>
      <c r="HU49" s="91"/>
      <c r="HV49" s="91"/>
      <c r="HW49" s="91"/>
      <c r="HX49" s="91"/>
      <c r="HY49" s="91"/>
      <c r="HZ49" s="91"/>
      <c r="IA49" s="91"/>
      <c r="IB49" s="91"/>
      <c r="IC49" s="91"/>
      <c r="ID49" s="91"/>
      <c r="IE49" s="91"/>
      <c r="IF49" s="91"/>
      <c r="IG49" s="91"/>
      <c r="IH49" s="91"/>
      <c r="II49" s="91"/>
      <c r="IJ49" s="91"/>
      <c r="IK49" s="91"/>
      <c r="IL49" s="91"/>
      <c r="IM49" s="91"/>
      <c r="IN49" s="91"/>
      <c r="IO49" s="91"/>
      <c r="IP49" s="91"/>
      <c r="IQ49" s="91"/>
      <c r="IR49" s="91"/>
      <c r="IS49" s="91"/>
      <c r="IT49" s="91"/>
      <c r="IU49" s="91"/>
      <c r="IV49" s="91"/>
    </row>
    <row r="50" s="92" customFormat="1" ht="20.1" customHeight="1" spans="1:256">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c r="EO50" s="91"/>
      <c r="EP50" s="91"/>
      <c r="EQ50" s="91"/>
      <c r="ER50" s="91"/>
      <c r="ES50" s="91"/>
      <c r="ET50" s="91"/>
      <c r="EU50" s="91"/>
      <c r="EV50" s="91"/>
      <c r="EW50" s="91"/>
      <c r="EX50" s="91"/>
      <c r="EY50" s="91"/>
      <c r="EZ50" s="91"/>
      <c r="FA50" s="91"/>
      <c r="FB50" s="91"/>
      <c r="FC50" s="91"/>
      <c r="FD50" s="91"/>
      <c r="FE50" s="91"/>
      <c r="FF50" s="91"/>
      <c r="FG50" s="91"/>
      <c r="FH50" s="91"/>
      <c r="FI50" s="91"/>
      <c r="FJ50" s="91"/>
      <c r="FK50" s="91"/>
      <c r="FL50" s="91"/>
      <c r="FM50" s="91"/>
      <c r="FN50" s="91"/>
      <c r="FO50" s="91"/>
      <c r="FP50" s="91"/>
      <c r="FQ50" s="91"/>
      <c r="FR50" s="91"/>
      <c r="FS50" s="91"/>
      <c r="FT50" s="91"/>
      <c r="FU50" s="91"/>
      <c r="FV50" s="91"/>
      <c r="FW50" s="91"/>
      <c r="FX50" s="91"/>
      <c r="FY50" s="91"/>
      <c r="FZ50" s="91"/>
      <c r="GA50" s="91"/>
      <c r="GB50" s="91"/>
      <c r="GC50" s="91"/>
      <c r="GD50" s="91"/>
      <c r="GE50" s="91"/>
      <c r="GF50" s="91"/>
      <c r="GG50" s="91"/>
      <c r="GH50" s="91"/>
      <c r="GI50" s="91"/>
      <c r="GJ50" s="91"/>
      <c r="GK50" s="91"/>
      <c r="GL50" s="91"/>
      <c r="GM50" s="91"/>
      <c r="GN50" s="91"/>
      <c r="GO50" s="91"/>
      <c r="GP50" s="91"/>
      <c r="GQ50" s="91"/>
      <c r="GR50" s="91"/>
      <c r="GS50" s="91"/>
      <c r="GT50" s="91"/>
      <c r="GU50" s="91"/>
      <c r="GV50" s="91"/>
      <c r="GW50" s="91"/>
      <c r="GX50" s="91"/>
      <c r="GY50" s="91"/>
      <c r="GZ50" s="91"/>
      <c r="HA50" s="91"/>
      <c r="HB50" s="91"/>
      <c r="HC50" s="91"/>
      <c r="HD50" s="91"/>
      <c r="HE50" s="91"/>
      <c r="HF50" s="91"/>
      <c r="HG50" s="91"/>
      <c r="HH50" s="91"/>
      <c r="HI50" s="91"/>
      <c r="HJ50" s="91"/>
      <c r="HK50" s="91"/>
      <c r="HL50" s="91"/>
      <c r="HM50" s="91"/>
      <c r="HN50" s="91"/>
      <c r="HO50" s="91"/>
      <c r="HP50" s="91"/>
      <c r="HQ50" s="91"/>
      <c r="HR50" s="91"/>
      <c r="HS50" s="91"/>
      <c r="HT50" s="91"/>
      <c r="HU50" s="91"/>
      <c r="HV50" s="91"/>
      <c r="HW50" s="91"/>
      <c r="HX50" s="91"/>
      <c r="HY50" s="91"/>
      <c r="HZ50" s="91"/>
      <c r="IA50" s="91"/>
      <c r="IB50" s="91"/>
      <c r="IC50" s="91"/>
      <c r="ID50" s="91"/>
      <c r="IE50" s="91"/>
      <c r="IF50" s="91"/>
      <c r="IG50" s="91"/>
      <c r="IH50" s="91"/>
      <c r="II50" s="91"/>
      <c r="IJ50" s="91"/>
      <c r="IK50" s="91"/>
      <c r="IL50" s="91"/>
      <c r="IM50" s="91"/>
      <c r="IN50" s="91"/>
      <c r="IO50" s="91"/>
      <c r="IP50" s="91"/>
      <c r="IQ50" s="91"/>
      <c r="IR50" s="91"/>
      <c r="IS50" s="91"/>
      <c r="IT50" s="91"/>
      <c r="IU50" s="91"/>
      <c r="IV50" s="91"/>
    </row>
    <row r="51" s="92" customFormat="1" ht="20.1" customHeight="1" spans="1:256">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c r="EO51" s="91"/>
      <c r="EP51" s="91"/>
      <c r="EQ51" s="91"/>
      <c r="ER51" s="91"/>
      <c r="ES51" s="91"/>
      <c r="ET51" s="91"/>
      <c r="EU51" s="91"/>
      <c r="EV51" s="91"/>
      <c r="EW51" s="91"/>
      <c r="EX51" s="91"/>
      <c r="EY51" s="91"/>
      <c r="EZ51" s="91"/>
      <c r="FA51" s="91"/>
      <c r="FB51" s="91"/>
      <c r="FC51" s="91"/>
      <c r="FD51" s="91"/>
      <c r="FE51" s="91"/>
      <c r="FF51" s="91"/>
      <c r="FG51" s="91"/>
      <c r="FH51" s="91"/>
      <c r="FI51" s="91"/>
      <c r="FJ51" s="91"/>
      <c r="FK51" s="91"/>
      <c r="FL51" s="91"/>
      <c r="FM51" s="91"/>
      <c r="FN51" s="91"/>
      <c r="FO51" s="91"/>
      <c r="FP51" s="91"/>
      <c r="FQ51" s="91"/>
      <c r="FR51" s="91"/>
      <c r="FS51" s="91"/>
      <c r="FT51" s="91"/>
      <c r="FU51" s="91"/>
      <c r="FV51" s="91"/>
      <c r="FW51" s="91"/>
      <c r="FX51" s="91"/>
      <c r="FY51" s="91"/>
      <c r="FZ51" s="91"/>
      <c r="GA51" s="91"/>
      <c r="GB51" s="91"/>
      <c r="GC51" s="91"/>
      <c r="GD51" s="91"/>
      <c r="GE51" s="91"/>
      <c r="GF51" s="91"/>
      <c r="GG51" s="91"/>
      <c r="GH51" s="91"/>
      <c r="GI51" s="91"/>
      <c r="GJ51" s="91"/>
      <c r="GK51" s="91"/>
      <c r="GL51" s="91"/>
      <c r="GM51" s="91"/>
      <c r="GN51" s="91"/>
      <c r="GO51" s="91"/>
      <c r="GP51" s="91"/>
      <c r="GQ51" s="91"/>
      <c r="GR51" s="91"/>
      <c r="GS51" s="91"/>
      <c r="GT51" s="91"/>
      <c r="GU51" s="91"/>
      <c r="GV51" s="91"/>
      <c r="GW51" s="91"/>
      <c r="GX51" s="91"/>
      <c r="GY51" s="91"/>
      <c r="GZ51" s="91"/>
      <c r="HA51" s="91"/>
      <c r="HB51" s="91"/>
      <c r="HC51" s="91"/>
      <c r="HD51" s="91"/>
      <c r="HE51" s="91"/>
      <c r="HF51" s="91"/>
      <c r="HG51" s="91"/>
      <c r="HH51" s="91"/>
      <c r="HI51" s="91"/>
      <c r="HJ51" s="91"/>
      <c r="HK51" s="91"/>
      <c r="HL51" s="91"/>
      <c r="HM51" s="91"/>
      <c r="HN51" s="91"/>
      <c r="HO51" s="91"/>
      <c r="HP51" s="91"/>
      <c r="HQ51" s="91"/>
      <c r="HR51" s="91"/>
      <c r="HS51" s="91"/>
      <c r="HT51" s="91"/>
      <c r="HU51" s="91"/>
      <c r="HV51" s="91"/>
      <c r="HW51" s="91"/>
      <c r="HX51" s="91"/>
      <c r="HY51" s="91"/>
      <c r="HZ51" s="91"/>
      <c r="IA51" s="91"/>
      <c r="IB51" s="91"/>
      <c r="IC51" s="91"/>
      <c r="ID51" s="91"/>
      <c r="IE51" s="91"/>
      <c r="IF51" s="91"/>
      <c r="IG51" s="91"/>
      <c r="IH51" s="91"/>
      <c r="II51" s="91"/>
      <c r="IJ51" s="91"/>
      <c r="IK51" s="91"/>
      <c r="IL51" s="91"/>
      <c r="IM51" s="91"/>
      <c r="IN51" s="91"/>
      <c r="IO51" s="91"/>
      <c r="IP51" s="91"/>
      <c r="IQ51" s="91"/>
      <c r="IR51" s="91"/>
      <c r="IS51" s="91"/>
      <c r="IT51" s="91"/>
      <c r="IU51" s="91"/>
      <c r="IV51" s="91"/>
    </row>
    <row r="52" s="92" customFormat="1" ht="20.1" customHeight="1" spans="1:256">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c r="EO52" s="91"/>
      <c r="EP52" s="91"/>
      <c r="EQ52" s="91"/>
      <c r="ER52" s="91"/>
      <c r="ES52" s="91"/>
      <c r="ET52" s="91"/>
      <c r="EU52" s="91"/>
      <c r="EV52" s="91"/>
      <c r="EW52" s="91"/>
      <c r="EX52" s="91"/>
      <c r="EY52" s="91"/>
      <c r="EZ52" s="91"/>
      <c r="FA52" s="91"/>
      <c r="FB52" s="91"/>
      <c r="FC52" s="91"/>
      <c r="FD52" s="91"/>
      <c r="FE52" s="91"/>
      <c r="FF52" s="91"/>
      <c r="FG52" s="91"/>
      <c r="FH52" s="91"/>
      <c r="FI52" s="91"/>
      <c r="FJ52" s="91"/>
      <c r="FK52" s="91"/>
      <c r="FL52" s="91"/>
      <c r="FM52" s="91"/>
      <c r="FN52" s="91"/>
      <c r="FO52" s="91"/>
      <c r="FP52" s="91"/>
      <c r="FQ52" s="91"/>
      <c r="FR52" s="91"/>
      <c r="FS52" s="91"/>
      <c r="FT52" s="91"/>
      <c r="FU52" s="91"/>
      <c r="FV52" s="91"/>
      <c r="FW52" s="91"/>
      <c r="FX52" s="91"/>
      <c r="FY52" s="91"/>
      <c r="FZ52" s="91"/>
      <c r="GA52" s="91"/>
      <c r="GB52" s="91"/>
      <c r="GC52" s="91"/>
      <c r="GD52" s="91"/>
      <c r="GE52" s="91"/>
      <c r="GF52" s="91"/>
      <c r="GG52" s="91"/>
      <c r="GH52" s="91"/>
      <c r="GI52" s="91"/>
      <c r="GJ52" s="91"/>
      <c r="GK52" s="91"/>
      <c r="GL52" s="91"/>
      <c r="GM52" s="91"/>
      <c r="GN52" s="91"/>
      <c r="GO52" s="91"/>
      <c r="GP52" s="91"/>
      <c r="GQ52" s="91"/>
      <c r="GR52" s="91"/>
      <c r="GS52" s="91"/>
      <c r="GT52" s="91"/>
      <c r="GU52" s="91"/>
      <c r="GV52" s="91"/>
      <c r="GW52" s="91"/>
      <c r="GX52" s="91"/>
      <c r="GY52" s="91"/>
      <c r="GZ52" s="91"/>
      <c r="HA52" s="91"/>
      <c r="HB52" s="91"/>
      <c r="HC52" s="91"/>
      <c r="HD52" s="91"/>
      <c r="HE52" s="91"/>
      <c r="HF52" s="91"/>
      <c r="HG52" s="91"/>
      <c r="HH52" s="91"/>
      <c r="HI52" s="91"/>
      <c r="HJ52" s="91"/>
      <c r="HK52" s="91"/>
      <c r="HL52" s="91"/>
      <c r="HM52" s="91"/>
      <c r="HN52" s="91"/>
      <c r="HO52" s="91"/>
      <c r="HP52" s="91"/>
      <c r="HQ52" s="91"/>
      <c r="HR52" s="91"/>
      <c r="HS52" s="91"/>
      <c r="HT52" s="91"/>
      <c r="HU52" s="91"/>
      <c r="HV52" s="91"/>
      <c r="HW52" s="91"/>
      <c r="HX52" s="91"/>
      <c r="HY52" s="91"/>
      <c r="HZ52" s="91"/>
      <c r="IA52" s="91"/>
      <c r="IB52" s="91"/>
      <c r="IC52" s="91"/>
      <c r="ID52" s="91"/>
      <c r="IE52" s="91"/>
      <c r="IF52" s="91"/>
      <c r="IG52" s="91"/>
      <c r="IH52" s="91"/>
      <c r="II52" s="91"/>
      <c r="IJ52" s="91"/>
      <c r="IK52" s="91"/>
      <c r="IL52" s="91"/>
      <c r="IM52" s="91"/>
      <c r="IN52" s="91"/>
      <c r="IO52" s="91"/>
      <c r="IP52" s="91"/>
      <c r="IQ52" s="91"/>
      <c r="IR52" s="91"/>
      <c r="IS52" s="91"/>
      <c r="IT52" s="91"/>
      <c r="IU52" s="91"/>
      <c r="IV52" s="91"/>
    </row>
    <row r="53" s="92" customFormat="1" ht="20.1" customHeight="1" spans="1:256">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c r="EO53" s="91"/>
      <c r="EP53" s="91"/>
      <c r="EQ53" s="91"/>
      <c r="ER53" s="91"/>
      <c r="ES53" s="91"/>
      <c r="ET53" s="91"/>
      <c r="EU53" s="91"/>
      <c r="EV53" s="91"/>
      <c r="EW53" s="91"/>
      <c r="EX53" s="91"/>
      <c r="EY53" s="91"/>
      <c r="EZ53" s="91"/>
      <c r="FA53" s="91"/>
      <c r="FB53" s="91"/>
      <c r="FC53" s="91"/>
      <c r="FD53" s="91"/>
      <c r="FE53" s="91"/>
      <c r="FF53" s="91"/>
      <c r="FG53" s="91"/>
      <c r="FH53" s="91"/>
      <c r="FI53" s="91"/>
      <c r="FJ53" s="91"/>
      <c r="FK53" s="91"/>
      <c r="FL53" s="91"/>
      <c r="FM53" s="91"/>
      <c r="FN53" s="91"/>
      <c r="FO53" s="91"/>
      <c r="FP53" s="91"/>
      <c r="FQ53" s="91"/>
      <c r="FR53" s="91"/>
      <c r="FS53" s="91"/>
      <c r="FT53" s="91"/>
      <c r="FU53" s="91"/>
      <c r="FV53" s="91"/>
      <c r="FW53" s="91"/>
      <c r="FX53" s="91"/>
      <c r="FY53" s="91"/>
      <c r="FZ53" s="91"/>
      <c r="GA53" s="91"/>
      <c r="GB53" s="91"/>
      <c r="GC53" s="91"/>
      <c r="GD53" s="91"/>
      <c r="GE53" s="91"/>
      <c r="GF53" s="91"/>
      <c r="GG53" s="91"/>
      <c r="GH53" s="91"/>
      <c r="GI53" s="91"/>
      <c r="GJ53" s="91"/>
      <c r="GK53" s="91"/>
      <c r="GL53" s="91"/>
      <c r="GM53" s="91"/>
      <c r="GN53" s="91"/>
      <c r="GO53" s="91"/>
      <c r="GP53" s="91"/>
      <c r="GQ53" s="91"/>
      <c r="GR53" s="91"/>
      <c r="GS53" s="91"/>
      <c r="GT53" s="91"/>
      <c r="GU53" s="91"/>
      <c r="GV53" s="91"/>
      <c r="GW53" s="91"/>
      <c r="GX53" s="91"/>
      <c r="GY53" s="91"/>
      <c r="GZ53" s="91"/>
      <c r="HA53" s="91"/>
      <c r="HB53" s="91"/>
      <c r="HC53" s="91"/>
      <c r="HD53" s="91"/>
      <c r="HE53" s="91"/>
      <c r="HF53" s="91"/>
      <c r="HG53" s="91"/>
      <c r="HH53" s="91"/>
      <c r="HI53" s="91"/>
      <c r="HJ53" s="91"/>
      <c r="HK53" s="91"/>
      <c r="HL53" s="91"/>
      <c r="HM53" s="91"/>
      <c r="HN53" s="91"/>
      <c r="HO53" s="91"/>
      <c r="HP53" s="91"/>
      <c r="HQ53" s="91"/>
      <c r="HR53" s="91"/>
      <c r="HS53" s="91"/>
      <c r="HT53" s="91"/>
      <c r="HU53" s="91"/>
      <c r="HV53" s="91"/>
      <c r="HW53" s="91"/>
      <c r="HX53" s="91"/>
      <c r="HY53" s="91"/>
      <c r="HZ53" s="91"/>
      <c r="IA53" s="91"/>
      <c r="IB53" s="91"/>
      <c r="IC53" s="91"/>
      <c r="ID53" s="91"/>
      <c r="IE53" s="91"/>
      <c r="IF53" s="91"/>
      <c r="IG53" s="91"/>
      <c r="IH53" s="91"/>
      <c r="II53" s="91"/>
      <c r="IJ53" s="91"/>
      <c r="IK53" s="91"/>
      <c r="IL53" s="91"/>
      <c r="IM53" s="91"/>
      <c r="IN53" s="91"/>
      <c r="IO53" s="91"/>
      <c r="IP53" s="91"/>
      <c r="IQ53" s="91"/>
      <c r="IR53" s="91"/>
      <c r="IS53" s="91"/>
      <c r="IT53" s="91"/>
      <c r="IU53" s="91"/>
      <c r="IV53" s="91"/>
    </row>
    <row r="54" s="92" customFormat="1" ht="20.1" customHeight="1" spans="1:256">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c r="FD54" s="91"/>
      <c r="FE54" s="91"/>
      <c r="FF54" s="91"/>
      <c r="FG54" s="91"/>
      <c r="FH54" s="91"/>
      <c r="FI54" s="91"/>
      <c r="FJ54" s="91"/>
      <c r="FK54" s="91"/>
      <c r="FL54" s="91"/>
      <c r="FM54" s="91"/>
      <c r="FN54" s="91"/>
      <c r="FO54" s="91"/>
      <c r="FP54" s="91"/>
      <c r="FQ54" s="91"/>
      <c r="FR54" s="91"/>
      <c r="FS54" s="91"/>
      <c r="FT54" s="91"/>
      <c r="FU54" s="91"/>
      <c r="FV54" s="91"/>
      <c r="FW54" s="91"/>
      <c r="FX54" s="91"/>
      <c r="FY54" s="91"/>
      <c r="FZ54" s="91"/>
      <c r="GA54" s="91"/>
      <c r="GB54" s="91"/>
      <c r="GC54" s="91"/>
      <c r="GD54" s="91"/>
      <c r="GE54" s="91"/>
      <c r="GF54" s="91"/>
      <c r="GG54" s="91"/>
      <c r="GH54" s="91"/>
      <c r="GI54" s="91"/>
      <c r="GJ54" s="91"/>
      <c r="GK54" s="91"/>
      <c r="GL54" s="91"/>
      <c r="GM54" s="91"/>
      <c r="GN54" s="91"/>
      <c r="GO54" s="91"/>
      <c r="GP54" s="91"/>
      <c r="GQ54" s="91"/>
      <c r="GR54" s="91"/>
      <c r="GS54" s="91"/>
      <c r="GT54" s="91"/>
      <c r="GU54" s="91"/>
      <c r="GV54" s="91"/>
      <c r="GW54" s="91"/>
      <c r="GX54" s="91"/>
      <c r="GY54" s="91"/>
      <c r="GZ54" s="91"/>
      <c r="HA54" s="91"/>
      <c r="HB54" s="91"/>
      <c r="HC54" s="91"/>
      <c r="HD54" s="91"/>
      <c r="HE54" s="91"/>
      <c r="HF54" s="91"/>
      <c r="HG54" s="91"/>
      <c r="HH54" s="91"/>
      <c r="HI54" s="91"/>
      <c r="HJ54" s="91"/>
      <c r="HK54" s="91"/>
      <c r="HL54" s="91"/>
      <c r="HM54" s="91"/>
      <c r="HN54" s="91"/>
      <c r="HO54" s="91"/>
      <c r="HP54" s="91"/>
      <c r="HQ54" s="91"/>
      <c r="HR54" s="91"/>
      <c r="HS54" s="91"/>
      <c r="HT54" s="91"/>
      <c r="HU54" s="91"/>
      <c r="HV54" s="91"/>
      <c r="HW54" s="91"/>
      <c r="HX54" s="91"/>
      <c r="HY54" s="91"/>
      <c r="HZ54" s="91"/>
      <c r="IA54" s="91"/>
      <c r="IB54" s="91"/>
      <c r="IC54" s="91"/>
      <c r="ID54" s="91"/>
      <c r="IE54" s="91"/>
      <c r="IF54" s="91"/>
      <c r="IG54" s="91"/>
      <c r="IH54" s="91"/>
      <c r="II54" s="91"/>
      <c r="IJ54" s="91"/>
      <c r="IK54" s="91"/>
      <c r="IL54" s="91"/>
      <c r="IM54" s="91"/>
      <c r="IN54" s="91"/>
      <c r="IO54" s="91"/>
      <c r="IP54" s="91"/>
      <c r="IQ54" s="91"/>
      <c r="IR54" s="91"/>
      <c r="IS54" s="91"/>
      <c r="IT54" s="91"/>
      <c r="IU54" s="91"/>
      <c r="IV54" s="91"/>
    </row>
    <row r="55" s="92" customFormat="1" ht="20.1" customHeight="1" spans="1:256">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c r="EO55" s="91"/>
      <c r="EP55" s="91"/>
      <c r="EQ55" s="91"/>
      <c r="ER55" s="91"/>
      <c r="ES55" s="91"/>
      <c r="ET55" s="91"/>
      <c r="EU55" s="91"/>
      <c r="EV55" s="91"/>
      <c r="EW55" s="91"/>
      <c r="EX55" s="91"/>
      <c r="EY55" s="91"/>
      <c r="EZ55" s="91"/>
      <c r="FA55" s="91"/>
      <c r="FB55" s="91"/>
      <c r="FC55" s="91"/>
      <c r="FD55" s="91"/>
      <c r="FE55" s="91"/>
      <c r="FF55" s="91"/>
      <c r="FG55" s="91"/>
      <c r="FH55" s="91"/>
      <c r="FI55" s="91"/>
      <c r="FJ55" s="91"/>
      <c r="FK55" s="91"/>
      <c r="FL55" s="91"/>
      <c r="FM55" s="91"/>
      <c r="FN55" s="91"/>
      <c r="FO55" s="91"/>
      <c r="FP55" s="91"/>
      <c r="FQ55" s="91"/>
      <c r="FR55" s="91"/>
      <c r="FS55" s="91"/>
      <c r="FT55" s="91"/>
      <c r="FU55" s="91"/>
      <c r="FV55" s="91"/>
      <c r="FW55" s="91"/>
      <c r="FX55" s="91"/>
      <c r="FY55" s="91"/>
      <c r="FZ55" s="91"/>
      <c r="GA55" s="91"/>
      <c r="GB55" s="91"/>
      <c r="GC55" s="91"/>
      <c r="GD55" s="91"/>
      <c r="GE55" s="91"/>
      <c r="GF55" s="91"/>
      <c r="GG55" s="91"/>
      <c r="GH55" s="91"/>
      <c r="GI55" s="91"/>
      <c r="GJ55" s="91"/>
      <c r="GK55" s="91"/>
      <c r="GL55" s="91"/>
      <c r="GM55" s="91"/>
      <c r="GN55" s="91"/>
      <c r="GO55" s="91"/>
      <c r="GP55" s="91"/>
      <c r="GQ55" s="91"/>
      <c r="GR55" s="91"/>
      <c r="GS55" s="91"/>
      <c r="GT55" s="91"/>
      <c r="GU55" s="91"/>
      <c r="GV55" s="91"/>
      <c r="GW55" s="91"/>
      <c r="GX55" s="91"/>
      <c r="GY55" s="91"/>
      <c r="GZ55" s="91"/>
      <c r="HA55" s="91"/>
      <c r="HB55" s="91"/>
      <c r="HC55" s="91"/>
      <c r="HD55" s="91"/>
      <c r="HE55" s="91"/>
      <c r="HF55" s="91"/>
      <c r="HG55" s="91"/>
      <c r="HH55" s="91"/>
      <c r="HI55" s="91"/>
      <c r="HJ55" s="91"/>
      <c r="HK55" s="91"/>
      <c r="HL55" s="91"/>
      <c r="HM55" s="91"/>
      <c r="HN55" s="91"/>
      <c r="HO55" s="91"/>
      <c r="HP55" s="91"/>
      <c r="HQ55" s="91"/>
      <c r="HR55" s="91"/>
      <c r="HS55" s="91"/>
      <c r="HT55" s="91"/>
      <c r="HU55" s="91"/>
      <c r="HV55" s="91"/>
      <c r="HW55" s="91"/>
      <c r="HX55" s="91"/>
      <c r="HY55" s="91"/>
      <c r="HZ55" s="91"/>
      <c r="IA55" s="91"/>
      <c r="IB55" s="91"/>
      <c r="IC55" s="91"/>
      <c r="ID55" s="91"/>
      <c r="IE55" s="91"/>
      <c r="IF55" s="91"/>
      <c r="IG55" s="91"/>
      <c r="IH55" s="91"/>
      <c r="II55" s="91"/>
      <c r="IJ55" s="91"/>
      <c r="IK55" s="91"/>
      <c r="IL55" s="91"/>
      <c r="IM55" s="91"/>
      <c r="IN55" s="91"/>
      <c r="IO55" s="91"/>
      <c r="IP55" s="91"/>
      <c r="IQ55" s="91"/>
      <c r="IR55" s="91"/>
      <c r="IS55" s="91"/>
      <c r="IT55" s="91"/>
      <c r="IU55" s="91"/>
      <c r="IV55" s="91"/>
    </row>
    <row r="56" s="92" customFormat="1" ht="20.1" customHeight="1" spans="1:256">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c r="EO56" s="91"/>
      <c r="EP56" s="91"/>
      <c r="EQ56" s="91"/>
      <c r="ER56" s="91"/>
      <c r="ES56" s="91"/>
      <c r="ET56" s="91"/>
      <c r="EU56" s="91"/>
      <c r="EV56" s="91"/>
      <c r="EW56" s="91"/>
      <c r="EX56" s="91"/>
      <c r="EY56" s="91"/>
      <c r="EZ56" s="91"/>
      <c r="FA56" s="91"/>
      <c r="FB56" s="91"/>
      <c r="FC56" s="91"/>
      <c r="FD56" s="91"/>
      <c r="FE56" s="91"/>
      <c r="FF56" s="91"/>
      <c r="FG56" s="91"/>
      <c r="FH56" s="91"/>
      <c r="FI56" s="91"/>
      <c r="FJ56" s="91"/>
      <c r="FK56" s="91"/>
      <c r="FL56" s="91"/>
      <c r="FM56" s="91"/>
      <c r="FN56" s="91"/>
      <c r="FO56" s="91"/>
      <c r="FP56" s="91"/>
      <c r="FQ56" s="91"/>
      <c r="FR56" s="91"/>
      <c r="FS56" s="91"/>
      <c r="FT56" s="91"/>
      <c r="FU56" s="91"/>
      <c r="FV56" s="91"/>
      <c r="FW56" s="91"/>
      <c r="FX56" s="91"/>
      <c r="FY56" s="91"/>
      <c r="FZ56" s="91"/>
      <c r="GA56" s="91"/>
      <c r="GB56" s="91"/>
      <c r="GC56" s="91"/>
      <c r="GD56" s="91"/>
      <c r="GE56" s="91"/>
      <c r="GF56" s="91"/>
      <c r="GG56" s="91"/>
      <c r="GH56" s="91"/>
      <c r="GI56" s="91"/>
      <c r="GJ56" s="91"/>
      <c r="GK56" s="91"/>
      <c r="GL56" s="91"/>
      <c r="GM56" s="91"/>
      <c r="GN56" s="91"/>
      <c r="GO56" s="91"/>
      <c r="GP56" s="91"/>
      <c r="GQ56" s="91"/>
      <c r="GR56" s="91"/>
      <c r="GS56" s="91"/>
      <c r="GT56" s="91"/>
      <c r="GU56" s="91"/>
      <c r="GV56" s="91"/>
      <c r="GW56" s="91"/>
      <c r="GX56" s="91"/>
      <c r="GY56" s="91"/>
      <c r="GZ56" s="91"/>
      <c r="HA56" s="91"/>
      <c r="HB56" s="91"/>
      <c r="HC56" s="91"/>
      <c r="HD56" s="91"/>
      <c r="HE56" s="91"/>
      <c r="HF56" s="91"/>
      <c r="HG56" s="91"/>
      <c r="HH56" s="91"/>
      <c r="HI56" s="91"/>
      <c r="HJ56" s="91"/>
      <c r="HK56" s="91"/>
      <c r="HL56" s="91"/>
      <c r="HM56" s="91"/>
      <c r="HN56" s="91"/>
      <c r="HO56" s="91"/>
      <c r="HP56" s="91"/>
      <c r="HQ56" s="91"/>
      <c r="HR56" s="91"/>
      <c r="HS56" s="91"/>
      <c r="HT56" s="91"/>
      <c r="HU56" s="91"/>
      <c r="HV56" s="91"/>
      <c r="HW56" s="91"/>
      <c r="HX56" s="91"/>
      <c r="HY56" s="91"/>
      <c r="HZ56" s="91"/>
      <c r="IA56" s="91"/>
      <c r="IB56" s="91"/>
      <c r="IC56" s="91"/>
      <c r="ID56" s="91"/>
      <c r="IE56" s="91"/>
      <c r="IF56" s="91"/>
      <c r="IG56" s="91"/>
      <c r="IH56" s="91"/>
      <c r="II56" s="91"/>
      <c r="IJ56" s="91"/>
      <c r="IK56" s="91"/>
      <c r="IL56" s="91"/>
      <c r="IM56" s="91"/>
      <c r="IN56" s="91"/>
      <c r="IO56" s="91"/>
      <c r="IP56" s="91"/>
      <c r="IQ56" s="91"/>
      <c r="IR56" s="91"/>
      <c r="IS56" s="91"/>
      <c r="IT56" s="91"/>
      <c r="IU56" s="91"/>
      <c r="IV56" s="91"/>
    </row>
    <row r="57" s="92" customFormat="1" ht="20.1" customHeight="1" spans="1:256">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c r="FD57" s="91"/>
      <c r="FE57" s="91"/>
      <c r="FF57" s="91"/>
      <c r="FG57" s="91"/>
      <c r="FH57" s="91"/>
      <c r="FI57" s="91"/>
      <c r="FJ57" s="91"/>
      <c r="FK57" s="91"/>
      <c r="FL57" s="91"/>
      <c r="FM57" s="91"/>
      <c r="FN57" s="91"/>
      <c r="FO57" s="91"/>
      <c r="FP57" s="91"/>
      <c r="FQ57" s="91"/>
      <c r="FR57" s="91"/>
      <c r="FS57" s="91"/>
      <c r="FT57" s="91"/>
      <c r="FU57" s="91"/>
      <c r="FV57" s="91"/>
      <c r="FW57" s="91"/>
      <c r="FX57" s="91"/>
      <c r="FY57" s="91"/>
      <c r="FZ57" s="91"/>
      <c r="GA57" s="91"/>
      <c r="GB57" s="91"/>
      <c r="GC57" s="91"/>
      <c r="GD57" s="91"/>
      <c r="GE57" s="91"/>
      <c r="GF57" s="91"/>
      <c r="GG57" s="91"/>
      <c r="GH57" s="91"/>
      <c r="GI57" s="91"/>
      <c r="GJ57" s="91"/>
      <c r="GK57" s="91"/>
      <c r="GL57" s="91"/>
      <c r="GM57" s="91"/>
      <c r="GN57" s="91"/>
      <c r="GO57" s="91"/>
      <c r="GP57" s="91"/>
      <c r="GQ57" s="91"/>
      <c r="GR57" s="91"/>
      <c r="GS57" s="91"/>
      <c r="GT57" s="91"/>
      <c r="GU57" s="91"/>
      <c r="GV57" s="91"/>
      <c r="GW57" s="91"/>
      <c r="GX57" s="91"/>
      <c r="GY57" s="91"/>
      <c r="GZ57" s="91"/>
      <c r="HA57" s="91"/>
      <c r="HB57" s="91"/>
      <c r="HC57" s="91"/>
      <c r="HD57" s="91"/>
      <c r="HE57" s="91"/>
      <c r="HF57" s="91"/>
      <c r="HG57" s="91"/>
      <c r="HH57" s="91"/>
      <c r="HI57" s="91"/>
      <c r="HJ57" s="91"/>
      <c r="HK57" s="91"/>
      <c r="HL57" s="91"/>
      <c r="HM57" s="91"/>
      <c r="HN57" s="91"/>
      <c r="HO57" s="91"/>
      <c r="HP57" s="91"/>
      <c r="HQ57" s="91"/>
      <c r="HR57" s="91"/>
      <c r="HS57" s="91"/>
      <c r="HT57" s="91"/>
      <c r="HU57" s="91"/>
      <c r="HV57" s="91"/>
      <c r="HW57" s="91"/>
      <c r="HX57" s="91"/>
      <c r="HY57" s="91"/>
      <c r="HZ57" s="91"/>
      <c r="IA57" s="91"/>
      <c r="IB57" s="91"/>
      <c r="IC57" s="91"/>
      <c r="ID57" s="91"/>
      <c r="IE57" s="91"/>
      <c r="IF57" s="91"/>
      <c r="IG57" s="91"/>
      <c r="IH57" s="91"/>
      <c r="II57" s="91"/>
      <c r="IJ57" s="91"/>
      <c r="IK57" s="91"/>
      <c r="IL57" s="91"/>
      <c r="IM57" s="91"/>
      <c r="IN57" s="91"/>
      <c r="IO57" s="91"/>
      <c r="IP57" s="91"/>
      <c r="IQ57" s="91"/>
      <c r="IR57" s="91"/>
      <c r="IS57" s="91"/>
      <c r="IT57" s="91"/>
      <c r="IU57" s="91"/>
      <c r="IV57" s="91"/>
    </row>
    <row r="58" s="92" customFormat="1" ht="20.1" customHeight="1" spans="1:256">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91"/>
      <c r="GE58" s="91"/>
      <c r="GF58" s="91"/>
      <c r="GG58" s="91"/>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row>
    <row r="59" s="92" customFormat="1" ht="20.1" customHeight="1" spans="1:256">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91"/>
      <c r="GE59" s="91"/>
      <c r="GF59" s="91"/>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row>
    <row r="60" s="92" customFormat="1" ht="20.1" customHeight="1" spans="1:256">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c r="EO60" s="91"/>
      <c r="EP60" s="91"/>
      <c r="EQ60" s="91"/>
      <c r="ER60" s="91"/>
      <c r="ES60" s="91"/>
      <c r="ET60" s="91"/>
      <c r="EU60" s="91"/>
      <c r="EV60" s="91"/>
      <c r="EW60" s="91"/>
      <c r="EX60" s="91"/>
      <c r="EY60" s="91"/>
      <c r="EZ60" s="91"/>
      <c r="FA60" s="91"/>
      <c r="FB60" s="91"/>
      <c r="FC60" s="91"/>
      <c r="FD60" s="91"/>
      <c r="FE60" s="91"/>
      <c r="FF60" s="91"/>
      <c r="FG60" s="91"/>
      <c r="FH60" s="91"/>
      <c r="FI60" s="91"/>
      <c r="FJ60" s="91"/>
      <c r="FK60" s="91"/>
      <c r="FL60" s="91"/>
      <c r="FM60" s="91"/>
      <c r="FN60" s="91"/>
      <c r="FO60" s="91"/>
      <c r="FP60" s="91"/>
      <c r="FQ60" s="91"/>
      <c r="FR60" s="91"/>
      <c r="FS60" s="91"/>
      <c r="FT60" s="91"/>
      <c r="FU60" s="91"/>
      <c r="FV60" s="91"/>
      <c r="FW60" s="91"/>
      <c r="FX60" s="91"/>
      <c r="FY60" s="91"/>
      <c r="FZ60" s="91"/>
      <c r="GA60" s="91"/>
      <c r="GB60" s="91"/>
      <c r="GC60" s="91"/>
      <c r="GD60" s="91"/>
      <c r="GE60" s="91"/>
      <c r="GF60" s="91"/>
      <c r="GG60" s="91"/>
      <c r="GH60" s="91"/>
      <c r="GI60" s="91"/>
      <c r="GJ60" s="91"/>
      <c r="GK60" s="91"/>
      <c r="GL60" s="91"/>
      <c r="GM60" s="91"/>
      <c r="GN60" s="91"/>
      <c r="GO60" s="91"/>
      <c r="GP60" s="91"/>
      <c r="GQ60" s="91"/>
      <c r="GR60" s="91"/>
      <c r="GS60" s="91"/>
      <c r="GT60" s="91"/>
      <c r="GU60" s="91"/>
      <c r="GV60" s="91"/>
      <c r="GW60" s="91"/>
      <c r="GX60" s="91"/>
      <c r="GY60" s="91"/>
      <c r="GZ60" s="91"/>
      <c r="HA60" s="91"/>
      <c r="HB60" s="91"/>
      <c r="HC60" s="91"/>
      <c r="HD60" s="91"/>
      <c r="HE60" s="91"/>
      <c r="HF60" s="91"/>
      <c r="HG60" s="91"/>
      <c r="HH60" s="91"/>
      <c r="HI60" s="91"/>
      <c r="HJ60" s="91"/>
      <c r="HK60" s="91"/>
      <c r="HL60" s="91"/>
      <c r="HM60" s="91"/>
      <c r="HN60" s="91"/>
      <c r="HO60" s="91"/>
      <c r="HP60" s="91"/>
      <c r="HQ60" s="91"/>
      <c r="HR60" s="91"/>
      <c r="HS60" s="91"/>
      <c r="HT60" s="91"/>
      <c r="HU60" s="91"/>
      <c r="HV60" s="91"/>
      <c r="HW60" s="91"/>
      <c r="HX60" s="91"/>
      <c r="HY60" s="91"/>
      <c r="HZ60" s="91"/>
      <c r="IA60" s="91"/>
      <c r="IB60" s="91"/>
      <c r="IC60" s="91"/>
      <c r="ID60" s="91"/>
      <c r="IE60" s="91"/>
      <c r="IF60" s="91"/>
      <c r="IG60" s="91"/>
      <c r="IH60" s="91"/>
      <c r="II60" s="91"/>
      <c r="IJ60" s="91"/>
      <c r="IK60" s="91"/>
      <c r="IL60" s="91"/>
      <c r="IM60" s="91"/>
      <c r="IN60" s="91"/>
      <c r="IO60" s="91"/>
      <c r="IP60" s="91"/>
      <c r="IQ60" s="91"/>
      <c r="IR60" s="91"/>
      <c r="IS60" s="91"/>
      <c r="IT60" s="91"/>
      <c r="IU60" s="91"/>
      <c r="IV60" s="91"/>
    </row>
    <row r="61" s="92" customFormat="1" ht="20.1" customHeight="1" spans="1:256">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c r="EO61" s="91"/>
      <c r="EP61" s="91"/>
      <c r="EQ61" s="91"/>
      <c r="ER61" s="91"/>
      <c r="ES61" s="91"/>
      <c r="ET61" s="91"/>
      <c r="EU61" s="91"/>
      <c r="EV61" s="91"/>
      <c r="EW61" s="91"/>
      <c r="EX61" s="91"/>
      <c r="EY61" s="91"/>
      <c r="EZ61" s="91"/>
      <c r="FA61" s="91"/>
      <c r="FB61" s="91"/>
      <c r="FC61" s="91"/>
      <c r="FD61" s="91"/>
      <c r="FE61" s="91"/>
      <c r="FF61" s="91"/>
      <c r="FG61" s="91"/>
      <c r="FH61" s="91"/>
      <c r="FI61" s="91"/>
      <c r="FJ61" s="91"/>
      <c r="FK61" s="91"/>
      <c r="FL61" s="91"/>
      <c r="FM61" s="91"/>
      <c r="FN61" s="91"/>
      <c r="FO61" s="91"/>
      <c r="FP61" s="91"/>
      <c r="FQ61" s="91"/>
      <c r="FR61" s="91"/>
      <c r="FS61" s="91"/>
      <c r="FT61" s="91"/>
      <c r="FU61" s="91"/>
      <c r="FV61" s="91"/>
      <c r="FW61" s="91"/>
      <c r="FX61" s="91"/>
      <c r="FY61" s="91"/>
      <c r="FZ61" s="91"/>
      <c r="GA61" s="91"/>
      <c r="GB61" s="91"/>
      <c r="GC61" s="91"/>
      <c r="GD61" s="91"/>
      <c r="GE61" s="91"/>
      <c r="GF61" s="91"/>
      <c r="GG61" s="91"/>
      <c r="GH61" s="91"/>
      <c r="GI61" s="91"/>
      <c r="GJ61" s="91"/>
      <c r="GK61" s="91"/>
      <c r="GL61" s="91"/>
      <c r="GM61" s="91"/>
      <c r="GN61" s="91"/>
      <c r="GO61" s="91"/>
      <c r="GP61" s="91"/>
      <c r="GQ61" s="91"/>
      <c r="GR61" s="91"/>
      <c r="GS61" s="91"/>
      <c r="GT61" s="91"/>
      <c r="GU61" s="91"/>
      <c r="GV61" s="91"/>
      <c r="GW61" s="91"/>
      <c r="GX61" s="91"/>
      <c r="GY61" s="91"/>
      <c r="GZ61" s="91"/>
      <c r="HA61" s="91"/>
      <c r="HB61" s="91"/>
      <c r="HC61" s="91"/>
      <c r="HD61" s="91"/>
      <c r="HE61" s="91"/>
      <c r="HF61" s="91"/>
      <c r="HG61" s="91"/>
      <c r="HH61" s="91"/>
      <c r="HI61" s="91"/>
      <c r="HJ61" s="91"/>
      <c r="HK61" s="91"/>
      <c r="HL61" s="91"/>
      <c r="HM61" s="91"/>
      <c r="HN61" s="91"/>
      <c r="HO61" s="91"/>
      <c r="HP61" s="91"/>
      <c r="HQ61" s="91"/>
      <c r="HR61" s="91"/>
      <c r="HS61" s="91"/>
      <c r="HT61" s="91"/>
      <c r="HU61" s="91"/>
      <c r="HV61" s="91"/>
      <c r="HW61" s="91"/>
      <c r="HX61" s="91"/>
      <c r="HY61" s="91"/>
      <c r="HZ61" s="91"/>
      <c r="IA61" s="91"/>
      <c r="IB61" s="91"/>
      <c r="IC61" s="91"/>
      <c r="ID61" s="91"/>
      <c r="IE61" s="91"/>
      <c r="IF61" s="91"/>
      <c r="IG61" s="91"/>
      <c r="IH61" s="91"/>
      <c r="II61" s="91"/>
      <c r="IJ61" s="91"/>
      <c r="IK61" s="91"/>
      <c r="IL61" s="91"/>
      <c r="IM61" s="91"/>
      <c r="IN61" s="91"/>
      <c r="IO61" s="91"/>
      <c r="IP61" s="91"/>
      <c r="IQ61" s="91"/>
      <c r="IR61" s="91"/>
      <c r="IS61" s="91"/>
      <c r="IT61" s="91"/>
      <c r="IU61" s="91"/>
      <c r="IV61" s="91"/>
    </row>
    <row r="62" s="92" customFormat="1" ht="20.1" customHeight="1" spans="1:256">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row>
    <row r="63" s="92" customFormat="1" ht="20.1" customHeight="1" spans="1:256">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row>
    <row r="64" s="92" customFormat="1" ht="20.1" customHeight="1" spans="1:256">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c r="EO64" s="91"/>
      <c r="EP64" s="91"/>
      <c r="EQ64" s="91"/>
      <c r="ER64" s="91"/>
      <c r="ES64" s="91"/>
      <c r="ET64" s="91"/>
      <c r="EU64" s="91"/>
      <c r="EV64" s="91"/>
      <c r="EW64" s="91"/>
      <c r="EX64" s="91"/>
      <c r="EY64" s="91"/>
      <c r="EZ64" s="91"/>
      <c r="FA64" s="91"/>
      <c r="FB64" s="91"/>
      <c r="FC64" s="91"/>
      <c r="FD64" s="91"/>
      <c r="FE64" s="91"/>
      <c r="FF64" s="91"/>
      <c r="FG64" s="91"/>
      <c r="FH64" s="91"/>
      <c r="FI64" s="91"/>
      <c r="FJ64" s="91"/>
      <c r="FK64" s="91"/>
      <c r="FL64" s="91"/>
      <c r="FM64" s="91"/>
      <c r="FN64" s="91"/>
      <c r="FO64" s="91"/>
      <c r="FP64" s="91"/>
      <c r="FQ64" s="91"/>
      <c r="FR64" s="91"/>
      <c r="FS64" s="91"/>
      <c r="FT64" s="91"/>
      <c r="FU64" s="91"/>
      <c r="FV64" s="91"/>
      <c r="FW64" s="91"/>
      <c r="FX64" s="91"/>
      <c r="FY64" s="91"/>
      <c r="FZ64" s="91"/>
      <c r="GA64" s="91"/>
      <c r="GB64" s="91"/>
      <c r="GC64" s="91"/>
      <c r="GD64" s="91"/>
      <c r="GE64" s="91"/>
      <c r="GF64" s="91"/>
      <c r="GG64" s="91"/>
      <c r="GH64" s="91"/>
      <c r="GI64" s="91"/>
      <c r="GJ64" s="91"/>
      <c r="GK64" s="91"/>
      <c r="GL64" s="91"/>
      <c r="GM64" s="91"/>
      <c r="GN64" s="91"/>
      <c r="GO64" s="91"/>
      <c r="GP64" s="91"/>
      <c r="GQ64" s="91"/>
      <c r="GR64" s="91"/>
      <c r="GS64" s="91"/>
      <c r="GT64" s="91"/>
      <c r="GU64" s="91"/>
      <c r="GV64" s="91"/>
      <c r="GW64" s="91"/>
      <c r="GX64" s="91"/>
      <c r="GY64" s="91"/>
      <c r="GZ64" s="91"/>
      <c r="HA64" s="91"/>
      <c r="HB64" s="91"/>
      <c r="HC64" s="91"/>
      <c r="HD64" s="91"/>
      <c r="HE64" s="91"/>
      <c r="HF64" s="91"/>
      <c r="HG64" s="91"/>
      <c r="HH64" s="91"/>
      <c r="HI64" s="91"/>
      <c r="HJ64" s="91"/>
      <c r="HK64" s="91"/>
      <c r="HL64" s="91"/>
      <c r="HM64" s="91"/>
      <c r="HN64" s="91"/>
      <c r="HO64" s="91"/>
      <c r="HP64" s="91"/>
      <c r="HQ64" s="91"/>
      <c r="HR64" s="91"/>
      <c r="HS64" s="91"/>
      <c r="HT64" s="91"/>
      <c r="HU64" s="91"/>
      <c r="HV64" s="91"/>
      <c r="HW64" s="91"/>
      <c r="HX64" s="91"/>
      <c r="HY64" s="91"/>
      <c r="HZ64" s="91"/>
      <c r="IA64" s="91"/>
      <c r="IB64" s="91"/>
      <c r="IC64" s="91"/>
      <c r="ID64" s="91"/>
      <c r="IE64" s="91"/>
      <c r="IF64" s="91"/>
      <c r="IG64" s="91"/>
      <c r="IH64" s="91"/>
      <c r="II64" s="91"/>
      <c r="IJ64" s="91"/>
      <c r="IK64" s="91"/>
      <c r="IL64" s="91"/>
      <c r="IM64" s="91"/>
      <c r="IN64" s="91"/>
      <c r="IO64" s="91"/>
      <c r="IP64" s="91"/>
      <c r="IQ64" s="91"/>
      <c r="IR64" s="91"/>
      <c r="IS64" s="91"/>
      <c r="IT64" s="91"/>
      <c r="IU64" s="91"/>
      <c r="IV64" s="91"/>
    </row>
    <row r="65" s="92" customFormat="1" ht="20.1" customHeight="1" spans="1:256">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c r="EO65" s="91"/>
      <c r="EP65" s="91"/>
      <c r="EQ65" s="91"/>
      <c r="ER65" s="91"/>
      <c r="ES65" s="91"/>
      <c r="ET65" s="91"/>
      <c r="EU65" s="91"/>
      <c r="EV65" s="91"/>
      <c r="EW65" s="91"/>
      <c r="EX65" s="91"/>
      <c r="EY65" s="91"/>
      <c r="EZ65" s="91"/>
      <c r="FA65" s="91"/>
      <c r="FB65" s="91"/>
      <c r="FC65" s="91"/>
      <c r="FD65" s="91"/>
      <c r="FE65" s="91"/>
      <c r="FF65" s="91"/>
      <c r="FG65" s="91"/>
      <c r="FH65" s="91"/>
      <c r="FI65" s="91"/>
      <c r="FJ65" s="91"/>
      <c r="FK65" s="91"/>
      <c r="FL65" s="91"/>
      <c r="FM65" s="91"/>
      <c r="FN65" s="91"/>
      <c r="FO65" s="91"/>
      <c r="FP65" s="91"/>
      <c r="FQ65" s="91"/>
      <c r="FR65" s="91"/>
      <c r="FS65" s="91"/>
      <c r="FT65" s="91"/>
      <c r="FU65" s="91"/>
      <c r="FV65" s="91"/>
      <c r="FW65" s="91"/>
      <c r="FX65" s="91"/>
      <c r="FY65" s="91"/>
      <c r="FZ65" s="91"/>
      <c r="GA65" s="91"/>
      <c r="GB65" s="91"/>
      <c r="GC65" s="91"/>
      <c r="GD65" s="91"/>
      <c r="GE65" s="91"/>
      <c r="GF65" s="91"/>
      <c r="GG65" s="91"/>
      <c r="GH65" s="91"/>
      <c r="GI65" s="91"/>
      <c r="GJ65" s="91"/>
      <c r="GK65" s="91"/>
      <c r="GL65" s="91"/>
      <c r="GM65" s="91"/>
      <c r="GN65" s="91"/>
      <c r="GO65" s="91"/>
      <c r="GP65" s="91"/>
      <c r="GQ65" s="91"/>
      <c r="GR65" s="91"/>
      <c r="GS65" s="91"/>
      <c r="GT65" s="91"/>
      <c r="GU65" s="91"/>
      <c r="GV65" s="91"/>
      <c r="GW65" s="91"/>
      <c r="GX65" s="91"/>
      <c r="GY65" s="91"/>
      <c r="GZ65" s="91"/>
      <c r="HA65" s="91"/>
      <c r="HB65" s="91"/>
      <c r="HC65" s="91"/>
      <c r="HD65" s="91"/>
      <c r="HE65" s="91"/>
      <c r="HF65" s="91"/>
      <c r="HG65" s="91"/>
      <c r="HH65" s="91"/>
      <c r="HI65" s="91"/>
      <c r="HJ65" s="91"/>
      <c r="HK65" s="91"/>
      <c r="HL65" s="91"/>
      <c r="HM65" s="91"/>
      <c r="HN65" s="91"/>
      <c r="HO65" s="91"/>
      <c r="HP65" s="91"/>
      <c r="HQ65" s="91"/>
      <c r="HR65" s="91"/>
      <c r="HS65" s="91"/>
      <c r="HT65" s="91"/>
      <c r="HU65" s="91"/>
      <c r="HV65" s="91"/>
      <c r="HW65" s="91"/>
      <c r="HX65" s="91"/>
      <c r="HY65" s="91"/>
      <c r="HZ65" s="91"/>
      <c r="IA65" s="91"/>
      <c r="IB65" s="91"/>
      <c r="IC65" s="91"/>
      <c r="ID65" s="91"/>
      <c r="IE65" s="91"/>
      <c r="IF65" s="91"/>
      <c r="IG65" s="91"/>
      <c r="IH65" s="91"/>
      <c r="II65" s="91"/>
      <c r="IJ65" s="91"/>
      <c r="IK65" s="91"/>
      <c r="IL65" s="91"/>
      <c r="IM65" s="91"/>
      <c r="IN65" s="91"/>
      <c r="IO65" s="91"/>
      <c r="IP65" s="91"/>
      <c r="IQ65" s="91"/>
      <c r="IR65" s="91"/>
      <c r="IS65" s="91"/>
      <c r="IT65" s="91"/>
      <c r="IU65" s="91"/>
      <c r="IV65" s="91"/>
    </row>
    <row r="66" s="92" customFormat="1" ht="20.1" customHeight="1" spans="1:256">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c r="EO66" s="91"/>
      <c r="EP66" s="91"/>
      <c r="EQ66" s="91"/>
      <c r="ER66" s="91"/>
      <c r="ES66" s="91"/>
      <c r="ET66" s="91"/>
      <c r="EU66" s="91"/>
      <c r="EV66" s="91"/>
      <c r="EW66" s="91"/>
      <c r="EX66" s="91"/>
      <c r="EY66" s="91"/>
      <c r="EZ66" s="91"/>
      <c r="FA66" s="91"/>
      <c r="FB66" s="91"/>
      <c r="FC66" s="91"/>
      <c r="FD66" s="91"/>
      <c r="FE66" s="91"/>
      <c r="FF66" s="91"/>
      <c r="FG66" s="91"/>
      <c r="FH66" s="91"/>
      <c r="FI66" s="91"/>
      <c r="FJ66" s="91"/>
      <c r="FK66" s="91"/>
      <c r="FL66" s="91"/>
      <c r="FM66" s="91"/>
      <c r="FN66" s="91"/>
      <c r="FO66" s="91"/>
      <c r="FP66" s="91"/>
      <c r="FQ66" s="91"/>
      <c r="FR66" s="91"/>
      <c r="FS66" s="91"/>
      <c r="FT66" s="91"/>
      <c r="FU66" s="91"/>
      <c r="FV66" s="91"/>
      <c r="FW66" s="91"/>
      <c r="FX66" s="91"/>
      <c r="FY66" s="91"/>
      <c r="FZ66" s="91"/>
      <c r="GA66" s="91"/>
      <c r="GB66" s="91"/>
      <c r="GC66" s="91"/>
      <c r="GD66" s="91"/>
      <c r="GE66" s="91"/>
      <c r="GF66" s="91"/>
      <c r="GG66" s="91"/>
      <c r="GH66" s="91"/>
      <c r="GI66" s="91"/>
      <c r="GJ66" s="91"/>
      <c r="GK66" s="91"/>
      <c r="GL66" s="91"/>
      <c r="GM66" s="91"/>
      <c r="GN66" s="91"/>
      <c r="GO66" s="91"/>
      <c r="GP66" s="91"/>
      <c r="GQ66" s="91"/>
      <c r="GR66" s="91"/>
      <c r="GS66" s="91"/>
      <c r="GT66" s="91"/>
      <c r="GU66" s="91"/>
      <c r="GV66" s="91"/>
      <c r="GW66" s="91"/>
      <c r="GX66" s="91"/>
      <c r="GY66" s="91"/>
      <c r="GZ66" s="91"/>
      <c r="HA66" s="91"/>
      <c r="HB66" s="91"/>
      <c r="HC66" s="91"/>
      <c r="HD66" s="91"/>
      <c r="HE66" s="91"/>
      <c r="HF66" s="91"/>
      <c r="HG66" s="91"/>
      <c r="HH66" s="91"/>
      <c r="HI66" s="91"/>
      <c r="HJ66" s="91"/>
      <c r="HK66" s="91"/>
      <c r="HL66" s="91"/>
      <c r="HM66" s="91"/>
      <c r="HN66" s="91"/>
      <c r="HO66" s="91"/>
      <c r="HP66" s="91"/>
      <c r="HQ66" s="91"/>
      <c r="HR66" s="91"/>
      <c r="HS66" s="91"/>
      <c r="HT66" s="91"/>
      <c r="HU66" s="91"/>
      <c r="HV66" s="91"/>
      <c r="HW66" s="91"/>
      <c r="HX66" s="91"/>
      <c r="HY66" s="91"/>
      <c r="HZ66" s="91"/>
      <c r="IA66" s="91"/>
      <c r="IB66" s="91"/>
      <c r="IC66" s="91"/>
      <c r="ID66" s="91"/>
      <c r="IE66" s="91"/>
      <c r="IF66" s="91"/>
      <c r="IG66" s="91"/>
      <c r="IH66" s="91"/>
      <c r="II66" s="91"/>
      <c r="IJ66" s="91"/>
      <c r="IK66" s="91"/>
      <c r="IL66" s="91"/>
      <c r="IM66" s="91"/>
      <c r="IN66" s="91"/>
      <c r="IO66" s="91"/>
      <c r="IP66" s="91"/>
      <c r="IQ66" s="91"/>
      <c r="IR66" s="91"/>
      <c r="IS66" s="91"/>
      <c r="IT66" s="91"/>
      <c r="IU66" s="91"/>
      <c r="IV66" s="91"/>
    </row>
    <row r="67" s="92" customFormat="1" ht="20.1" customHeight="1" spans="1:256">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row>
    <row r="68" s="92" customFormat="1" ht="20.1" customHeight="1" spans="1:256">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1"/>
      <c r="FX68" s="91"/>
      <c r="FY68" s="91"/>
      <c r="FZ68" s="91"/>
      <c r="GA68" s="91"/>
      <c r="GB68" s="91"/>
      <c r="GC68" s="91"/>
      <c r="GD68" s="91"/>
      <c r="GE68" s="91"/>
      <c r="GF68" s="91"/>
      <c r="GG68" s="91"/>
      <c r="GH68" s="91"/>
      <c r="GI68" s="91"/>
      <c r="GJ68" s="91"/>
      <c r="GK68" s="91"/>
      <c r="GL68" s="91"/>
      <c r="GM68" s="91"/>
      <c r="GN68" s="91"/>
      <c r="GO68" s="91"/>
      <c r="GP68" s="91"/>
      <c r="GQ68" s="91"/>
      <c r="GR68" s="91"/>
      <c r="GS68" s="91"/>
      <c r="GT68" s="91"/>
      <c r="GU68" s="91"/>
      <c r="GV68" s="91"/>
      <c r="GW68" s="91"/>
      <c r="GX68" s="91"/>
      <c r="GY68" s="91"/>
      <c r="GZ68" s="91"/>
      <c r="HA68" s="91"/>
      <c r="HB68" s="91"/>
      <c r="HC68" s="91"/>
      <c r="HD68" s="91"/>
      <c r="HE68" s="91"/>
      <c r="HF68" s="91"/>
      <c r="HG68" s="91"/>
      <c r="HH68" s="91"/>
      <c r="HI68" s="91"/>
      <c r="HJ68" s="91"/>
      <c r="HK68" s="91"/>
      <c r="HL68" s="91"/>
      <c r="HM68" s="91"/>
      <c r="HN68" s="91"/>
      <c r="HO68" s="91"/>
      <c r="HP68" s="91"/>
      <c r="HQ68" s="91"/>
      <c r="HR68" s="91"/>
      <c r="HS68" s="91"/>
      <c r="HT68" s="91"/>
      <c r="HU68" s="91"/>
      <c r="HV68" s="91"/>
      <c r="HW68" s="91"/>
      <c r="HX68" s="91"/>
      <c r="HY68" s="91"/>
      <c r="HZ68" s="91"/>
      <c r="IA68" s="91"/>
      <c r="IB68" s="91"/>
      <c r="IC68" s="91"/>
      <c r="ID68" s="91"/>
      <c r="IE68" s="91"/>
      <c r="IF68" s="91"/>
      <c r="IG68" s="91"/>
      <c r="IH68" s="91"/>
      <c r="II68" s="91"/>
      <c r="IJ68" s="91"/>
      <c r="IK68" s="91"/>
      <c r="IL68" s="91"/>
      <c r="IM68" s="91"/>
      <c r="IN68" s="91"/>
      <c r="IO68" s="91"/>
      <c r="IP68" s="91"/>
      <c r="IQ68" s="91"/>
      <c r="IR68" s="91"/>
      <c r="IS68" s="91"/>
      <c r="IT68" s="91"/>
      <c r="IU68" s="91"/>
      <c r="IV68" s="91"/>
    </row>
    <row r="69" s="92" customFormat="1" ht="20.1" customHeight="1" spans="1:256">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1"/>
      <c r="FX69" s="91"/>
      <c r="FY69" s="91"/>
      <c r="FZ69" s="91"/>
      <c r="GA69" s="91"/>
      <c r="GB69" s="91"/>
      <c r="GC69" s="91"/>
      <c r="GD69" s="91"/>
      <c r="GE69" s="91"/>
      <c r="GF69" s="91"/>
      <c r="GG69" s="91"/>
      <c r="GH69" s="91"/>
      <c r="GI69" s="91"/>
      <c r="GJ69" s="91"/>
      <c r="GK69" s="91"/>
      <c r="GL69" s="91"/>
      <c r="GM69" s="91"/>
      <c r="GN69" s="91"/>
      <c r="GO69" s="91"/>
      <c r="GP69" s="91"/>
      <c r="GQ69" s="91"/>
      <c r="GR69" s="91"/>
      <c r="GS69" s="91"/>
      <c r="GT69" s="91"/>
      <c r="GU69" s="91"/>
      <c r="GV69" s="91"/>
      <c r="GW69" s="91"/>
      <c r="GX69" s="91"/>
      <c r="GY69" s="91"/>
      <c r="GZ69" s="91"/>
      <c r="HA69" s="91"/>
      <c r="HB69" s="91"/>
      <c r="HC69" s="91"/>
      <c r="HD69" s="91"/>
      <c r="HE69" s="91"/>
      <c r="HF69" s="91"/>
      <c r="HG69" s="91"/>
      <c r="HH69" s="91"/>
      <c r="HI69" s="91"/>
      <c r="HJ69" s="91"/>
      <c r="HK69" s="91"/>
      <c r="HL69" s="91"/>
      <c r="HM69" s="91"/>
      <c r="HN69" s="91"/>
      <c r="HO69" s="91"/>
      <c r="HP69" s="91"/>
      <c r="HQ69" s="91"/>
      <c r="HR69" s="91"/>
      <c r="HS69" s="91"/>
      <c r="HT69" s="91"/>
      <c r="HU69" s="91"/>
      <c r="HV69" s="91"/>
      <c r="HW69" s="91"/>
      <c r="HX69" s="91"/>
      <c r="HY69" s="91"/>
      <c r="HZ69" s="91"/>
      <c r="IA69" s="91"/>
      <c r="IB69" s="91"/>
      <c r="IC69" s="91"/>
      <c r="ID69" s="91"/>
      <c r="IE69" s="91"/>
      <c r="IF69" s="91"/>
      <c r="IG69" s="91"/>
      <c r="IH69" s="91"/>
      <c r="II69" s="91"/>
      <c r="IJ69" s="91"/>
      <c r="IK69" s="91"/>
      <c r="IL69" s="91"/>
      <c r="IM69" s="91"/>
      <c r="IN69" s="91"/>
      <c r="IO69" s="91"/>
      <c r="IP69" s="91"/>
      <c r="IQ69" s="91"/>
      <c r="IR69" s="91"/>
      <c r="IS69" s="91"/>
      <c r="IT69" s="91"/>
      <c r="IU69" s="91"/>
      <c r="IV69" s="91"/>
    </row>
    <row r="70" s="92" customFormat="1" ht="20.1" customHeight="1" spans="1:256">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1"/>
      <c r="FX70" s="91"/>
      <c r="FY70" s="91"/>
      <c r="FZ70" s="91"/>
      <c r="GA70" s="91"/>
      <c r="GB70" s="91"/>
      <c r="GC70" s="91"/>
      <c r="GD70" s="91"/>
      <c r="GE70" s="91"/>
      <c r="GF70" s="91"/>
      <c r="GG70" s="91"/>
      <c r="GH70" s="91"/>
      <c r="GI70" s="91"/>
      <c r="GJ70" s="91"/>
      <c r="GK70" s="91"/>
      <c r="GL70" s="91"/>
      <c r="GM70" s="91"/>
      <c r="GN70" s="91"/>
      <c r="GO70" s="91"/>
      <c r="GP70" s="91"/>
      <c r="GQ70" s="91"/>
      <c r="GR70" s="91"/>
      <c r="GS70" s="91"/>
      <c r="GT70" s="91"/>
      <c r="GU70" s="91"/>
      <c r="GV70" s="91"/>
      <c r="GW70" s="91"/>
      <c r="GX70" s="91"/>
      <c r="GY70" s="91"/>
      <c r="GZ70" s="91"/>
      <c r="HA70" s="91"/>
      <c r="HB70" s="91"/>
      <c r="HC70" s="91"/>
      <c r="HD70" s="91"/>
      <c r="HE70" s="91"/>
      <c r="HF70" s="91"/>
      <c r="HG70" s="91"/>
      <c r="HH70" s="91"/>
      <c r="HI70" s="91"/>
      <c r="HJ70" s="91"/>
      <c r="HK70" s="91"/>
      <c r="HL70" s="91"/>
      <c r="HM70" s="91"/>
      <c r="HN70" s="91"/>
      <c r="HO70" s="91"/>
      <c r="HP70" s="91"/>
      <c r="HQ70" s="91"/>
      <c r="HR70" s="91"/>
      <c r="HS70" s="91"/>
      <c r="HT70" s="91"/>
      <c r="HU70" s="91"/>
      <c r="HV70" s="91"/>
      <c r="HW70" s="91"/>
      <c r="HX70" s="91"/>
      <c r="HY70" s="91"/>
      <c r="HZ70" s="91"/>
      <c r="IA70" s="91"/>
      <c r="IB70" s="91"/>
      <c r="IC70" s="91"/>
      <c r="ID70" s="91"/>
      <c r="IE70" s="91"/>
      <c r="IF70" s="91"/>
      <c r="IG70" s="91"/>
      <c r="IH70" s="91"/>
      <c r="II70" s="91"/>
      <c r="IJ70" s="91"/>
      <c r="IK70" s="91"/>
      <c r="IL70" s="91"/>
      <c r="IM70" s="91"/>
      <c r="IN70" s="91"/>
      <c r="IO70" s="91"/>
      <c r="IP70" s="91"/>
      <c r="IQ70" s="91"/>
      <c r="IR70" s="91"/>
      <c r="IS70" s="91"/>
      <c r="IT70" s="91"/>
      <c r="IU70" s="91"/>
      <c r="IV70" s="91"/>
    </row>
    <row r="71" s="92" customFormat="1" ht="20.1" customHeight="1" spans="1:256">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c r="EO71" s="91"/>
      <c r="EP71" s="91"/>
      <c r="EQ71" s="91"/>
      <c r="ER71" s="91"/>
      <c r="ES71" s="91"/>
      <c r="ET71" s="91"/>
      <c r="EU71" s="91"/>
      <c r="EV71" s="91"/>
      <c r="EW71" s="91"/>
      <c r="EX71" s="91"/>
      <c r="EY71" s="91"/>
      <c r="EZ71" s="91"/>
      <c r="FA71" s="91"/>
      <c r="FB71" s="91"/>
      <c r="FC71" s="91"/>
      <c r="FD71" s="91"/>
      <c r="FE71" s="91"/>
      <c r="FF71" s="91"/>
      <c r="FG71" s="91"/>
      <c r="FH71" s="91"/>
      <c r="FI71" s="91"/>
      <c r="FJ71" s="91"/>
      <c r="FK71" s="91"/>
      <c r="FL71" s="91"/>
      <c r="FM71" s="91"/>
      <c r="FN71" s="91"/>
      <c r="FO71" s="91"/>
      <c r="FP71" s="91"/>
      <c r="FQ71" s="91"/>
      <c r="FR71" s="91"/>
      <c r="FS71" s="91"/>
      <c r="FT71" s="91"/>
      <c r="FU71" s="91"/>
      <c r="FV71" s="91"/>
      <c r="FW71" s="91"/>
      <c r="FX71" s="91"/>
      <c r="FY71" s="91"/>
      <c r="FZ71" s="91"/>
      <c r="GA71" s="91"/>
      <c r="GB71" s="91"/>
      <c r="GC71" s="91"/>
      <c r="GD71" s="91"/>
      <c r="GE71" s="91"/>
      <c r="GF71" s="91"/>
      <c r="GG71" s="91"/>
      <c r="GH71" s="91"/>
      <c r="GI71" s="91"/>
      <c r="GJ71" s="91"/>
      <c r="GK71" s="91"/>
      <c r="GL71" s="91"/>
      <c r="GM71" s="91"/>
      <c r="GN71" s="91"/>
      <c r="GO71" s="91"/>
      <c r="GP71" s="91"/>
      <c r="GQ71" s="91"/>
      <c r="GR71" s="91"/>
      <c r="GS71" s="91"/>
      <c r="GT71" s="91"/>
      <c r="GU71" s="91"/>
      <c r="GV71" s="91"/>
      <c r="GW71" s="91"/>
      <c r="GX71" s="91"/>
      <c r="GY71" s="91"/>
      <c r="GZ71" s="91"/>
      <c r="HA71" s="91"/>
      <c r="HB71" s="91"/>
      <c r="HC71" s="91"/>
      <c r="HD71" s="91"/>
      <c r="HE71" s="91"/>
      <c r="HF71" s="91"/>
      <c r="HG71" s="91"/>
      <c r="HH71" s="91"/>
      <c r="HI71" s="91"/>
      <c r="HJ71" s="91"/>
      <c r="HK71" s="91"/>
      <c r="HL71" s="91"/>
      <c r="HM71" s="91"/>
      <c r="HN71" s="91"/>
      <c r="HO71" s="91"/>
      <c r="HP71" s="91"/>
      <c r="HQ71" s="91"/>
      <c r="HR71" s="91"/>
      <c r="HS71" s="91"/>
      <c r="HT71" s="91"/>
      <c r="HU71" s="91"/>
      <c r="HV71" s="91"/>
      <c r="HW71" s="91"/>
      <c r="HX71" s="91"/>
      <c r="HY71" s="91"/>
      <c r="HZ71" s="91"/>
      <c r="IA71" s="91"/>
      <c r="IB71" s="91"/>
      <c r="IC71" s="91"/>
      <c r="ID71" s="91"/>
      <c r="IE71" s="91"/>
      <c r="IF71" s="91"/>
      <c r="IG71" s="91"/>
      <c r="IH71" s="91"/>
      <c r="II71" s="91"/>
      <c r="IJ71" s="91"/>
      <c r="IK71" s="91"/>
      <c r="IL71" s="91"/>
      <c r="IM71" s="91"/>
      <c r="IN71" s="91"/>
      <c r="IO71" s="91"/>
      <c r="IP71" s="91"/>
      <c r="IQ71" s="91"/>
      <c r="IR71" s="91"/>
      <c r="IS71" s="91"/>
      <c r="IT71" s="91"/>
      <c r="IU71" s="91"/>
      <c r="IV71" s="91"/>
    </row>
    <row r="72" s="92" customFormat="1" ht="20.1" customHeight="1" spans="1:256">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c r="EO72" s="91"/>
      <c r="EP72" s="91"/>
      <c r="EQ72" s="91"/>
      <c r="ER72" s="91"/>
      <c r="ES72" s="91"/>
      <c r="ET72" s="91"/>
      <c r="EU72" s="91"/>
      <c r="EV72" s="91"/>
      <c r="EW72" s="91"/>
      <c r="EX72" s="91"/>
      <c r="EY72" s="91"/>
      <c r="EZ72" s="91"/>
      <c r="FA72" s="91"/>
      <c r="FB72" s="91"/>
      <c r="FC72" s="91"/>
      <c r="FD72" s="91"/>
      <c r="FE72" s="91"/>
      <c r="FF72" s="91"/>
      <c r="FG72" s="91"/>
      <c r="FH72" s="91"/>
      <c r="FI72" s="91"/>
      <c r="FJ72" s="91"/>
      <c r="FK72" s="91"/>
      <c r="FL72" s="91"/>
      <c r="FM72" s="91"/>
      <c r="FN72" s="91"/>
      <c r="FO72" s="91"/>
      <c r="FP72" s="91"/>
      <c r="FQ72" s="91"/>
      <c r="FR72" s="91"/>
      <c r="FS72" s="91"/>
      <c r="FT72" s="91"/>
      <c r="FU72" s="91"/>
      <c r="FV72" s="91"/>
      <c r="FW72" s="91"/>
      <c r="FX72" s="91"/>
      <c r="FY72" s="91"/>
      <c r="FZ72" s="91"/>
      <c r="GA72" s="91"/>
      <c r="GB72" s="91"/>
      <c r="GC72" s="91"/>
      <c r="GD72" s="91"/>
      <c r="GE72" s="91"/>
      <c r="GF72" s="91"/>
      <c r="GG72" s="91"/>
      <c r="GH72" s="91"/>
      <c r="GI72" s="91"/>
      <c r="GJ72" s="91"/>
      <c r="GK72" s="91"/>
      <c r="GL72" s="91"/>
      <c r="GM72" s="91"/>
      <c r="GN72" s="91"/>
      <c r="GO72" s="91"/>
      <c r="GP72" s="91"/>
      <c r="GQ72" s="91"/>
      <c r="GR72" s="91"/>
      <c r="GS72" s="91"/>
      <c r="GT72" s="91"/>
      <c r="GU72" s="91"/>
      <c r="GV72" s="91"/>
      <c r="GW72" s="91"/>
      <c r="GX72" s="91"/>
      <c r="GY72" s="91"/>
      <c r="GZ72" s="91"/>
      <c r="HA72" s="91"/>
      <c r="HB72" s="91"/>
      <c r="HC72" s="91"/>
      <c r="HD72" s="91"/>
      <c r="HE72" s="91"/>
      <c r="HF72" s="91"/>
      <c r="HG72" s="91"/>
      <c r="HH72" s="91"/>
      <c r="HI72" s="91"/>
      <c r="HJ72" s="91"/>
      <c r="HK72" s="91"/>
      <c r="HL72" s="91"/>
      <c r="HM72" s="91"/>
      <c r="HN72" s="91"/>
      <c r="HO72" s="91"/>
      <c r="HP72" s="91"/>
      <c r="HQ72" s="91"/>
      <c r="HR72" s="91"/>
      <c r="HS72" s="91"/>
      <c r="HT72" s="91"/>
      <c r="HU72" s="91"/>
      <c r="HV72" s="91"/>
      <c r="HW72" s="91"/>
      <c r="HX72" s="91"/>
      <c r="HY72" s="91"/>
      <c r="HZ72" s="91"/>
      <c r="IA72" s="91"/>
      <c r="IB72" s="91"/>
      <c r="IC72" s="91"/>
      <c r="ID72" s="91"/>
      <c r="IE72" s="91"/>
      <c r="IF72" s="91"/>
      <c r="IG72" s="91"/>
      <c r="IH72" s="91"/>
      <c r="II72" s="91"/>
      <c r="IJ72" s="91"/>
      <c r="IK72" s="91"/>
      <c r="IL72" s="91"/>
      <c r="IM72" s="91"/>
      <c r="IN72" s="91"/>
      <c r="IO72" s="91"/>
      <c r="IP72" s="91"/>
      <c r="IQ72" s="91"/>
      <c r="IR72" s="91"/>
      <c r="IS72" s="91"/>
      <c r="IT72" s="91"/>
      <c r="IU72" s="91"/>
      <c r="IV72" s="91"/>
    </row>
    <row r="73" s="92" customFormat="1" ht="20.1" customHeight="1" spans="1:256">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c r="EO73" s="91"/>
      <c r="EP73" s="91"/>
      <c r="EQ73" s="91"/>
      <c r="ER73" s="91"/>
      <c r="ES73" s="91"/>
      <c r="ET73" s="91"/>
      <c r="EU73" s="91"/>
      <c r="EV73" s="91"/>
      <c r="EW73" s="91"/>
      <c r="EX73" s="91"/>
      <c r="EY73" s="91"/>
      <c r="EZ73" s="91"/>
      <c r="FA73" s="91"/>
      <c r="FB73" s="91"/>
      <c r="FC73" s="91"/>
      <c r="FD73" s="91"/>
      <c r="FE73" s="91"/>
      <c r="FF73" s="91"/>
      <c r="FG73" s="91"/>
      <c r="FH73" s="91"/>
      <c r="FI73" s="91"/>
      <c r="FJ73" s="91"/>
      <c r="FK73" s="91"/>
      <c r="FL73" s="91"/>
      <c r="FM73" s="91"/>
      <c r="FN73" s="91"/>
      <c r="FO73" s="91"/>
      <c r="FP73" s="91"/>
      <c r="FQ73" s="91"/>
      <c r="FR73" s="91"/>
      <c r="FS73" s="91"/>
      <c r="FT73" s="91"/>
      <c r="FU73" s="91"/>
      <c r="FV73" s="91"/>
      <c r="FW73" s="91"/>
      <c r="FX73" s="91"/>
      <c r="FY73" s="91"/>
      <c r="FZ73" s="91"/>
      <c r="GA73" s="91"/>
      <c r="GB73" s="91"/>
      <c r="GC73" s="91"/>
      <c r="GD73" s="91"/>
      <c r="GE73" s="91"/>
      <c r="GF73" s="91"/>
      <c r="GG73" s="91"/>
      <c r="GH73" s="91"/>
      <c r="GI73" s="91"/>
      <c r="GJ73" s="91"/>
      <c r="GK73" s="91"/>
      <c r="GL73" s="91"/>
      <c r="GM73" s="91"/>
      <c r="GN73" s="91"/>
      <c r="GO73" s="91"/>
      <c r="GP73" s="91"/>
      <c r="GQ73" s="91"/>
      <c r="GR73" s="91"/>
      <c r="GS73" s="91"/>
      <c r="GT73" s="91"/>
      <c r="GU73" s="91"/>
      <c r="GV73" s="91"/>
      <c r="GW73" s="91"/>
      <c r="GX73" s="91"/>
      <c r="GY73" s="91"/>
      <c r="GZ73" s="91"/>
      <c r="HA73" s="91"/>
      <c r="HB73" s="91"/>
      <c r="HC73" s="91"/>
      <c r="HD73" s="91"/>
      <c r="HE73" s="91"/>
      <c r="HF73" s="91"/>
      <c r="HG73" s="91"/>
      <c r="HH73" s="91"/>
      <c r="HI73" s="91"/>
      <c r="HJ73" s="91"/>
      <c r="HK73" s="91"/>
      <c r="HL73" s="91"/>
      <c r="HM73" s="91"/>
      <c r="HN73" s="91"/>
      <c r="HO73" s="91"/>
      <c r="HP73" s="91"/>
      <c r="HQ73" s="91"/>
      <c r="HR73" s="91"/>
      <c r="HS73" s="91"/>
      <c r="HT73" s="91"/>
      <c r="HU73" s="91"/>
      <c r="HV73" s="91"/>
      <c r="HW73" s="91"/>
      <c r="HX73" s="91"/>
      <c r="HY73" s="91"/>
      <c r="HZ73" s="91"/>
      <c r="IA73" s="91"/>
      <c r="IB73" s="91"/>
      <c r="IC73" s="91"/>
      <c r="ID73" s="91"/>
      <c r="IE73" s="91"/>
      <c r="IF73" s="91"/>
      <c r="IG73" s="91"/>
      <c r="IH73" s="91"/>
      <c r="II73" s="91"/>
      <c r="IJ73" s="91"/>
      <c r="IK73" s="91"/>
      <c r="IL73" s="91"/>
      <c r="IM73" s="91"/>
      <c r="IN73" s="91"/>
      <c r="IO73" s="91"/>
      <c r="IP73" s="91"/>
      <c r="IQ73" s="91"/>
      <c r="IR73" s="91"/>
      <c r="IS73" s="91"/>
      <c r="IT73" s="91"/>
      <c r="IU73" s="91"/>
      <c r="IV73" s="91"/>
    </row>
    <row r="74" s="92" customFormat="1" ht="20.1" customHeight="1" spans="1:256">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c r="EO74" s="91"/>
      <c r="EP74" s="91"/>
      <c r="EQ74" s="91"/>
      <c r="ER74" s="91"/>
      <c r="ES74" s="91"/>
      <c r="ET74" s="91"/>
      <c r="EU74" s="91"/>
      <c r="EV74" s="91"/>
      <c r="EW74" s="91"/>
      <c r="EX74" s="91"/>
      <c r="EY74" s="91"/>
      <c r="EZ74" s="91"/>
      <c r="FA74" s="91"/>
      <c r="FB74" s="91"/>
      <c r="FC74" s="91"/>
      <c r="FD74" s="91"/>
      <c r="FE74" s="91"/>
      <c r="FF74" s="91"/>
      <c r="FG74" s="91"/>
      <c r="FH74" s="91"/>
      <c r="FI74" s="91"/>
      <c r="FJ74" s="91"/>
      <c r="FK74" s="91"/>
      <c r="FL74" s="91"/>
      <c r="FM74" s="91"/>
      <c r="FN74" s="91"/>
      <c r="FO74" s="91"/>
      <c r="FP74" s="91"/>
      <c r="FQ74" s="91"/>
      <c r="FR74" s="91"/>
      <c r="FS74" s="91"/>
      <c r="FT74" s="91"/>
      <c r="FU74" s="91"/>
      <c r="FV74" s="91"/>
      <c r="FW74" s="91"/>
      <c r="FX74" s="91"/>
      <c r="FY74" s="91"/>
      <c r="FZ74" s="91"/>
      <c r="GA74" s="91"/>
      <c r="GB74" s="91"/>
      <c r="GC74" s="91"/>
      <c r="GD74" s="91"/>
      <c r="GE74" s="91"/>
      <c r="GF74" s="91"/>
      <c r="GG74" s="91"/>
      <c r="GH74" s="91"/>
      <c r="GI74" s="91"/>
      <c r="GJ74" s="91"/>
      <c r="GK74" s="91"/>
      <c r="GL74" s="91"/>
      <c r="GM74" s="91"/>
      <c r="GN74" s="91"/>
      <c r="GO74" s="91"/>
      <c r="GP74" s="91"/>
      <c r="GQ74" s="91"/>
      <c r="GR74" s="91"/>
      <c r="GS74" s="91"/>
      <c r="GT74" s="91"/>
      <c r="GU74" s="91"/>
      <c r="GV74" s="91"/>
      <c r="GW74" s="91"/>
      <c r="GX74" s="91"/>
      <c r="GY74" s="91"/>
      <c r="GZ74" s="91"/>
      <c r="HA74" s="91"/>
      <c r="HB74" s="91"/>
      <c r="HC74" s="91"/>
      <c r="HD74" s="91"/>
      <c r="HE74" s="91"/>
      <c r="HF74" s="91"/>
      <c r="HG74" s="91"/>
      <c r="HH74" s="91"/>
      <c r="HI74" s="91"/>
      <c r="HJ74" s="91"/>
      <c r="HK74" s="91"/>
      <c r="HL74" s="91"/>
      <c r="HM74" s="91"/>
      <c r="HN74" s="91"/>
      <c r="HO74" s="91"/>
      <c r="HP74" s="91"/>
      <c r="HQ74" s="91"/>
      <c r="HR74" s="91"/>
      <c r="HS74" s="91"/>
      <c r="HT74" s="91"/>
      <c r="HU74" s="91"/>
      <c r="HV74" s="91"/>
      <c r="HW74" s="91"/>
      <c r="HX74" s="91"/>
      <c r="HY74" s="91"/>
      <c r="HZ74" s="91"/>
      <c r="IA74" s="91"/>
      <c r="IB74" s="91"/>
      <c r="IC74" s="91"/>
      <c r="ID74" s="91"/>
      <c r="IE74" s="91"/>
      <c r="IF74" s="91"/>
      <c r="IG74" s="91"/>
      <c r="IH74" s="91"/>
      <c r="II74" s="91"/>
      <c r="IJ74" s="91"/>
      <c r="IK74" s="91"/>
      <c r="IL74" s="91"/>
      <c r="IM74" s="91"/>
      <c r="IN74" s="91"/>
      <c r="IO74" s="91"/>
      <c r="IP74" s="91"/>
      <c r="IQ74" s="91"/>
      <c r="IR74" s="91"/>
      <c r="IS74" s="91"/>
      <c r="IT74" s="91"/>
      <c r="IU74" s="91"/>
      <c r="IV74" s="91"/>
    </row>
    <row r="75" s="92" customFormat="1" ht="20.1" customHeight="1" spans="1:256">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91"/>
      <c r="GB75" s="91"/>
      <c r="GC75" s="91"/>
      <c r="GD75" s="91"/>
      <c r="GE75" s="91"/>
      <c r="GF75" s="91"/>
      <c r="GG75" s="91"/>
      <c r="GH75" s="91"/>
      <c r="GI75" s="91"/>
      <c r="GJ75" s="91"/>
      <c r="GK75" s="91"/>
      <c r="GL75" s="91"/>
      <c r="GM75" s="91"/>
      <c r="GN75" s="91"/>
      <c r="GO75" s="91"/>
      <c r="GP75" s="91"/>
      <c r="GQ75" s="91"/>
      <c r="GR75" s="91"/>
      <c r="GS75" s="91"/>
      <c r="GT75" s="91"/>
      <c r="GU75" s="91"/>
      <c r="GV75" s="91"/>
      <c r="GW75" s="91"/>
      <c r="GX75" s="91"/>
      <c r="GY75" s="91"/>
      <c r="GZ75" s="91"/>
      <c r="HA75" s="91"/>
      <c r="HB75" s="91"/>
      <c r="HC75" s="91"/>
      <c r="HD75" s="91"/>
      <c r="HE75" s="91"/>
      <c r="HF75" s="91"/>
      <c r="HG75" s="91"/>
      <c r="HH75" s="91"/>
      <c r="HI75" s="91"/>
      <c r="HJ75" s="91"/>
      <c r="HK75" s="91"/>
      <c r="HL75" s="91"/>
      <c r="HM75" s="91"/>
      <c r="HN75" s="91"/>
      <c r="HO75" s="91"/>
      <c r="HP75" s="91"/>
      <c r="HQ75" s="91"/>
      <c r="HR75" s="91"/>
      <c r="HS75" s="91"/>
      <c r="HT75" s="91"/>
      <c r="HU75" s="91"/>
      <c r="HV75" s="91"/>
      <c r="HW75" s="91"/>
      <c r="HX75" s="91"/>
      <c r="HY75" s="91"/>
      <c r="HZ75" s="91"/>
      <c r="IA75" s="91"/>
      <c r="IB75" s="91"/>
      <c r="IC75" s="91"/>
      <c r="ID75" s="91"/>
      <c r="IE75" s="91"/>
      <c r="IF75" s="91"/>
      <c r="IG75" s="91"/>
      <c r="IH75" s="91"/>
      <c r="II75" s="91"/>
      <c r="IJ75" s="91"/>
      <c r="IK75" s="91"/>
      <c r="IL75" s="91"/>
      <c r="IM75" s="91"/>
      <c r="IN75" s="91"/>
      <c r="IO75" s="91"/>
      <c r="IP75" s="91"/>
      <c r="IQ75" s="91"/>
      <c r="IR75" s="91"/>
      <c r="IS75" s="91"/>
      <c r="IT75" s="91"/>
      <c r="IU75" s="91"/>
      <c r="IV75" s="91"/>
    </row>
    <row r="76" s="92" customFormat="1" ht="20.1" customHeight="1" spans="1:256">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1"/>
      <c r="DE76" s="91"/>
      <c r="DF76" s="91"/>
      <c r="DG76" s="91"/>
      <c r="DH76" s="91"/>
      <c r="DI76" s="91"/>
      <c r="DJ76" s="91"/>
      <c r="DK76" s="91"/>
      <c r="DL76" s="91"/>
      <c r="DM76" s="91"/>
      <c r="DN76" s="91"/>
      <c r="DO76" s="91"/>
      <c r="DP76" s="91"/>
      <c r="DQ76" s="91"/>
      <c r="DR76" s="91"/>
      <c r="DS76" s="91"/>
      <c r="DT76" s="91"/>
      <c r="DU76" s="91"/>
      <c r="DV76" s="91"/>
      <c r="DW76" s="91"/>
      <c r="DX76" s="91"/>
      <c r="DY76" s="91"/>
      <c r="DZ76" s="91"/>
      <c r="EA76" s="91"/>
      <c r="EB76" s="91"/>
      <c r="EC76" s="91"/>
      <c r="ED76" s="91"/>
      <c r="EE76" s="91"/>
      <c r="EF76" s="91"/>
      <c r="EG76" s="91"/>
      <c r="EH76" s="91"/>
      <c r="EI76" s="91"/>
      <c r="EJ76" s="91"/>
      <c r="EK76" s="91"/>
      <c r="EL76" s="91"/>
      <c r="EM76" s="91"/>
      <c r="EN76" s="91"/>
      <c r="EO76" s="91"/>
      <c r="EP76" s="91"/>
      <c r="EQ76" s="91"/>
      <c r="ER76" s="91"/>
      <c r="ES76" s="91"/>
      <c r="ET76" s="91"/>
      <c r="EU76" s="91"/>
      <c r="EV76" s="91"/>
      <c r="EW76" s="91"/>
      <c r="EX76" s="91"/>
      <c r="EY76" s="91"/>
      <c r="EZ76" s="91"/>
      <c r="FA76" s="91"/>
      <c r="FB76" s="91"/>
      <c r="FC76" s="91"/>
      <c r="FD76" s="91"/>
      <c r="FE76" s="91"/>
      <c r="FF76" s="91"/>
      <c r="FG76" s="91"/>
      <c r="FH76" s="91"/>
      <c r="FI76" s="91"/>
      <c r="FJ76" s="91"/>
      <c r="FK76" s="91"/>
      <c r="FL76" s="91"/>
      <c r="FM76" s="91"/>
      <c r="FN76" s="91"/>
      <c r="FO76" s="91"/>
      <c r="FP76" s="91"/>
      <c r="FQ76" s="91"/>
      <c r="FR76" s="91"/>
      <c r="FS76" s="91"/>
      <c r="FT76" s="91"/>
      <c r="FU76" s="91"/>
      <c r="FV76" s="91"/>
      <c r="FW76" s="91"/>
      <c r="FX76" s="91"/>
      <c r="FY76" s="91"/>
      <c r="FZ76" s="91"/>
      <c r="GA76" s="91"/>
      <c r="GB76" s="91"/>
      <c r="GC76" s="91"/>
      <c r="GD76" s="91"/>
      <c r="GE76" s="91"/>
      <c r="GF76" s="91"/>
      <c r="GG76" s="91"/>
      <c r="GH76" s="91"/>
      <c r="GI76" s="91"/>
      <c r="GJ76" s="91"/>
      <c r="GK76" s="91"/>
      <c r="GL76" s="91"/>
      <c r="GM76" s="91"/>
      <c r="GN76" s="91"/>
      <c r="GO76" s="91"/>
      <c r="GP76" s="91"/>
      <c r="GQ76" s="91"/>
      <c r="GR76" s="91"/>
      <c r="GS76" s="91"/>
      <c r="GT76" s="91"/>
      <c r="GU76" s="91"/>
      <c r="GV76" s="91"/>
      <c r="GW76" s="91"/>
      <c r="GX76" s="91"/>
      <c r="GY76" s="91"/>
      <c r="GZ76" s="91"/>
      <c r="HA76" s="91"/>
      <c r="HB76" s="91"/>
      <c r="HC76" s="91"/>
      <c r="HD76" s="91"/>
      <c r="HE76" s="91"/>
      <c r="HF76" s="91"/>
      <c r="HG76" s="91"/>
      <c r="HH76" s="91"/>
      <c r="HI76" s="91"/>
      <c r="HJ76" s="91"/>
      <c r="HK76" s="91"/>
      <c r="HL76" s="91"/>
      <c r="HM76" s="91"/>
      <c r="HN76" s="91"/>
      <c r="HO76" s="91"/>
      <c r="HP76" s="91"/>
      <c r="HQ76" s="91"/>
      <c r="HR76" s="91"/>
      <c r="HS76" s="91"/>
      <c r="HT76" s="91"/>
      <c r="HU76" s="91"/>
      <c r="HV76" s="91"/>
      <c r="HW76" s="91"/>
      <c r="HX76" s="91"/>
      <c r="HY76" s="91"/>
      <c r="HZ76" s="91"/>
      <c r="IA76" s="91"/>
      <c r="IB76" s="91"/>
      <c r="IC76" s="91"/>
      <c r="ID76" s="91"/>
      <c r="IE76" s="91"/>
      <c r="IF76" s="91"/>
      <c r="IG76" s="91"/>
      <c r="IH76" s="91"/>
      <c r="II76" s="91"/>
      <c r="IJ76" s="91"/>
      <c r="IK76" s="91"/>
      <c r="IL76" s="91"/>
      <c r="IM76" s="91"/>
      <c r="IN76" s="91"/>
      <c r="IO76" s="91"/>
      <c r="IP76" s="91"/>
      <c r="IQ76" s="91"/>
      <c r="IR76" s="91"/>
      <c r="IS76" s="91"/>
      <c r="IT76" s="91"/>
      <c r="IU76" s="91"/>
      <c r="IV76" s="91"/>
    </row>
    <row r="77" s="92" customFormat="1" ht="20.1" customHeight="1" spans="1:256">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1"/>
      <c r="FX77" s="91"/>
      <c r="FY77" s="91"/>
      <c r="FZ77" s="91"/>
      <c r="GA77" s="91"/>
      <c r="GB77" s="91"/>
      <c r="GC77" s="91"/>
      <c r="GD77" s="91"/>
      <c r="GE77" s="91"/>
      <c r="GF77" s="91"/>
      <c r="GG77" s="91"/>
      <c r="GH77" s="91"/>
      <c r="GI77" s="91"/>
      <c r="GJ77" s="91"/>
      <c r="GK77" s="91"/>
      <c r="GL77" s="91"/>
      <c r="GM77" s="91"/>
      <c r="GN77" s="91"/>
      <c r="GO77" s="91"/>
      <c r="GP77" s="91"/>
      <c r="GQ77" s="91"/>
      <c r="GR77" s="91"/>
      <c r="GS77" s="91"/>
      <c r="GT77" s="91"/>
      <c r="GU77" s="91"/>
      <c r="GV77" s="91"/>
      <c r="GW77" s="91"/>
      <c r="GX77" s="91"/>
      <c r="GY77" s="91"/>
      <c r="GZ77" s="91"/>
      <c r="HA77" s="91"/>
      <c r="HB77" s="91"/>
      <c r="HC77" s="91"/>
      <c r="HD77" s="91"/>
      <c r="HE77" s="91"/>
      <c r="HF77" s="91"/>
      <c r="HG77" s="91"/>
      <c r="HH77" s="91"/>
      <c r="HI77" s="91"/>
      <c r="HJ77" s="91"/>
      <c r="HK77" s="91"/>
      <c r="HL77" s="91"/>
      <c r="HM77" s="91"/>
      <c r="HN77" s="91"/>
      <c r="HO77" s="91"/>
      <c r="HP77" s="91"/>
      <c r="HQ77" s="91"/>
      <c r="HR77" s="91"/>
      <c r="HS77" s="91"/>
      <c r="HT77" s="91"/>
      <c r="HU77" s="91"/>
      <c r="HV77" s="91"/>
      <c r="HW77" s="91"/>
      <c r="HX77" s="91"/>
      <c r="HY77" s="91"/>
      <c r="HZ77" s="91"/>
      <c r="IA77" s="91"/>
      <c r="IB77" s="91"/>
      <c r="IC77" s="91"/>
      <c r="ID77" s="91"/>
      <c r="IE77" s="91"/>
      <c r="IF77" s="91"/>
      <c r="IG77" s="91"/>
      <c r="IH77" s="91"/>
      <c r="II77" s="91"/>
      <c r="IJ77" s="91"/>
      <c r="IK77" s="91"/>
      <c r="IL77" s="91"/>
      <c r="IM77" s="91"/>
      <c r="IN77" s="91"/>
      <c r="IO77" s="91"/>
      <c r="IP77" s="91"/>
      <c r="IQ77" s="91"/>
      <c r="IR77" s="91"/>
      <c r="IS77" s="91"/>
      <c r="IT77" s="91"/>
      <c r="IU77" s="91"/>
      <c r="IV77" s="91"/>
    </row>
    <row r="78" s="92" customFormat="1" ht="20.1" customHeight="1" spans="1:256">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1"/>
      <c r="FX78" s="91"/>
      <c r="FY78" s="91"/>
      <c r="FZ78" s="91"/>
      <c r="GA78" s="91"/>
      <c r="GB78" s="91"/>
      <c r="GC78" s="91"/>
      <c r="GD78" s="91"/>
      <c r="GE78" s="91"/>
      <c r="GF78" s="91"/>
      <c r="GG78" s="91"/>
      <c r="GH78" s="91"/>
      <c r="GI78" s="91"/>
      <c r="GJ78" s="91"/>
      <c r="GK78" s="91"/>
      <c r="GL78" s="91"/>
      <c r="GM78" s="91"/>
      <c r="GN78" s="91"/>
      <c r="GO78" s="91"/>
      <c r="GP78" s="91"/>
      <c r="GQ78" s="91"/>
      <c r="GR78" s="91"/>
      <c r="GS78" s="91"/>
      <c r="GT78" s="91"/>
      <c r="GU78" s="91"/>
      <c r="GV78" s="91"/>
      <c r="GW78" s="91"/>
      <c r="GX78" s="91"/>
      <c r="GY78" s="91"/>
      <c r="GZ78" s="91"/>
      <c r="HA78" s="91"/>
      <c r="HB78" s="91"/>
      <c r="HC78" s="91"/>
      <c r="HD78" s="91"/>
      <c r="HE78" s="91"/>
      <c r="HF78" s="91"/>
      <c r="HG78" s="91"/>
      <c r="HH78" s="91"/>
      <c r="HI78" s="91"/>
      <c r="HJ78" s="91"/>
      <c r="HK78" s="91"/>
      <c r="HL78" s="91"/>
      <c r="HM78" s="91"/>
      <c r="HN78" s="91"/>
      <c r="HO78" s="91"/>
      <c r="HP78" s="91"/>
      <c r="HQ78" s="91"/>
      <c r="HR78" s="91"/>
      <c r="HS78" s="91"/>
      <c r="HT78" s="91"/>
      <c r="HU78" s="91"/>
      <c r="HV78" s="91"/>
      <c r="HW78" s="91"/>
      <c r="HX78" s="91"/>
      <c r="HY78" s="91"/>
      <c r="HZ78" s="91"/>
      <c r="IA78" s="91"/>
      <c r="IB78" s="91"/>
      <c r="IC78" s="91"/>
      <c r="ID78" s="91"/>
      <c r="IE78" s="91"/>
      <c r="IF78" s="91"/>
      <c r="IG78" s="91"/>
      <c r="IH78" s="91"/>
      <c r="II78" s="91"/>
      <c r="IJ78" s="91"/>
      <c r="IK78" s="91"/>
      <c r="IL78" s="91"/>
      <c r="IM78" s="91"/>
      <c r="IN78" s="91"/>
      <c r="IO78" s="91"/>
      <c r="IP78" s="91"/>
      <c r="IQ78" s="91"/>
      <c r="IR78" s="91"/>
      <c r="IS78" s="91"/>
      <c r="IT78" s="91"/>
      <c r="IU78" s="91"/>
      <c r="IV78" s="91"/>
    </row>
    <row r="79" s="92" customFormat="1" ht="20.1" customHeight="1" spans="1:256">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1"/>
      <c r="FX79" s="91"/>
      <c r="FY79" s="91"/>
      <c r="FZ79" s="91"/>
      <c r="GA79" s="91"/>
      <c r="GB79" s="91"/>
      <c r="GC79" s="91"/>
      <c r="GD79" s="91"/>
      <c r="GE79" s="91"/>
      <c r="GF79" s="91"/>
      <c r="GG79" s="91"/>
      <c r="GH79" s="91"/>
      <c r="GI79" s="91"/>
      <c r="GJ79" s="91"/>
      <c r="GK79" s="91"/>
      <c r="GL79" s="91"/>
      <c r="GM79" s="91"/>
      <c r="GN79" s="91"/>
      <c r="GO79" s="91"/>
      <c r="GP79" s="91"/>
      <c r="GQ79" s="91"/>
      <c r="GR79" s="91"/>
      <c r="GS79" s="91"/>
      <c r="GT79" s="91"/>
      <c r="GU79" s="91"/>
      <c r="GV79" s="91"/>
      <c r="GW79" s="91"/>
      <c r="GX79" s="91"/>
      <c r="GY79" s="91"/>
      <c r="GZ79" s="91"/>
      <c r="HA79" s="91"/>
      <c r="HB79" s="91"/>
      <c r="HC79" s="91"/>
      <c r="HD79" s="91"/>
      <c r="HE79" s="91"/>
      <c r="HF79" s="91"/>
      <c r="HG79" s="91"/>
      <c r="HH79" s="91"/>
      <c r="HI79" s="91"/>
      <c r="HJ79" s="91"/>
      <c r="HK79" s="91"/>
      <c r="HL79" s="91"/>
      <c r="HM79" s="91"/>
      <c r="HN79" s="91"/>
      <c r="HO79" s="91"/>
      <c r="HP79" s="91"/>
      <c r="HQ79" s="91"/>
      <c r="HR79" s="91"/>
      <c r="HS79" s="91"/>
      <c r="HT79" s="91"/>
      <c r="HU79" s="91"/>
      <c r="HV79" s="91"/>
      <c r="HW79" s="91"/>
      <c r="HX79" s="91"/>
      <c r="HY79" s="91"/>
      <c r="HZ79" s="91"/>
      <c r="IA79" s="91"/>
      <c r="IB79" s="91"/>
      <c r="IC79" s="91"/>
      <c r="ID79" s="91"/>
      <c r="IE79" s="91"/>
      <c r="IF79" s="91"/>
      <c r="IG79" s="91"/>
      <c r="IH79" s="91"/>
      <c r="II79" s="91"/>
      <c r="IJ79" s="91"/>
      <c r="IK79" s="91"/>
      <c r="IL79" s="91"/>
      <c r="IM79" s="91"/>
      <c r="IN79" s="91"/>
      <c r="IO79" s="91"/>
      <c r="IP79" s="91"/>
      <c r="IQ79" s="91"/>
      <c r="IR79" s="91"/>
      <c r="IS79" s="91"/>
      <c r="IT79" s="91"/>
      <c r="IU79" s="91"/>
      <c r="IV79" s="91"/>
    </row>
    <row r="80" s="92" customFormat="1" ht="20.1" customHeight="1" spans="1:256">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c r="EO80" s="91"/>
      <c r="EP80" s="91"/>
      <c r="EQ80" s="91"/>
      <c r="ER80" s="91"/>
      <c r="ES80" s="91"/>
      <c r="ET80" s="91"/>
      <c r="EU80" s="91"/>
      <c r="EV80" s="91"/>
      <c r="EW80" s="91"/>
      <c r="EX80" s="91"/>
      <c r="EY80" s="91"/>
      <c r="EZ80" s="91"/>
      <c r="FA80" s="91"/>
      <c r="FB80" s="91"/>
      <c r="FC80" s="91"/>
      <c r="FD80" s="91"/>
      <c r="FE80" s="91"/>
      <c r="FF80" s="91"/>
      <c r="FG80" s="91"/>
      <c r="FH80" s="91"/>
      <c r="FI80" s="91"/>
      <c r="FJ80" s="91"/>
      <c r="FK80" s="91"/>
      <c r="FL80" s="91"/>
      <c r="FM80" s="91"/>
      <c r="FN80" s="91"/>
      <c r="FO80" s="91"/>
      <c r="FP80" s="91"/>
      <c r="FQ80" s="91"/>
      <c r="FR80" s="91"/>
      <c r="FS80" s="91"/>
      <c r="FT80" s="91"/>
      <c r="FU80" s="91"/>
      <c r="FV80" s="91"/>
      <c r="FW80" s="91"/>
      <c r="FX80" s="91"/>
      <c r="FY80" s="91"/>
      <c r="FZ80" s="91"/>
      <c r="GA80" s="91"/>
      <c r="GB80" s="91"/>
      <c r="GC80" s="91"/>
      <c r="GD80" s="91"/>
      <c r="GE80" s="91"/>
      <c r="GF80" s="91"/>
      <c r="GG80" s="91"/>
      <c r="GH80" s="91"/>
      <c r="GI80" s="91"/>
      <c r="GJ80" s="91"/>
      <c r="GK80" s="91"/>
      <c r="GL80" s="91"/>
      <c r="GM80" s="91"/>
      <c r="GN80" s="91"/>
      <c r="GO80" s="91"/>
      <c r="GP80" s="91"/>
      <c r="GQ80" s="91"/>
      <c r="GR80" s="91"/>
      <c r="GS80" s="91"/>
      <c r="GT80" s="91"/>
      <c r="GU80" s="91"/>
      <c r="GV80" s="91"/>
      <c r="GW80" s="91"/>
      <c r="GX80" s="91"/>
      <c r="GY80" s="91"/>
      <c r="GZ80" s="91"/>
      <c r="HA80" s="91"/>
      <c r="HB80" s="91"/>
      <c r="HC80" s="91"/>
      <c r="HD80" s="91"/>
      <c r="HE80" s="91"/>
      <c r="HF80" s="91"/>
      <c r="HG80" s="91"/>
      <c r="HH80" s="91"/>
      <c r="HI80" s="91"/>
      <c r="HJ80" s="91"/>
      <c r="HK80" s="91"/>
      <c r="HL80" s="91"/>
      <c r="HM80" s="91"/>
      <c r="HN80" s="91"/>
      <c r="HO80" s="91"/>
      <c r="HP80" s="91"/>
      <c r="HQ80" s="91"/>
      <c r="HR80" s="91"/>
      <c r="HS80" s="91"/>
      <c r="HT80" s="91"/>
      <c r="HU80" s="91"/>
      <c r="HV80" s="91"/>
      <c r="HW80" s="91"/>
      <c r="HX80" s="91"/>
      <c r="HY80" s="91"/>
      <c r="HZ80" s="91"/>
      <c r="IA80" s="91"/>
      <c r="IB80" s="91"/>
      <c r="IC80" s="91"/>
      <c r="ID80" s="91"/>
      <c r="IE80" s="91"/>
      <c r="IF80" s="91"/>
      <c r="IG80" s="91"/>
      <c r="IH80" s="91"/>
      <c r="II80" s="91"/>
      <c r="IJ80" s="91"/>
      <c r="IK80" s="91"/>
      <c r="IL80" s="91"/>
      <c r="IM80" s="91"/>
      <c r="IN80" s="91"/>
      <c r="IO80" s="91"/>
      <c r="IP80" s="91"/>
      <c r="IQ80" s="91"/>
      <c r="IR80" s="91"/>
      <c r="IS80" s="91"/>
      <c r="IT80" s="91"/>
      <c r="IU80" s="91"/>
      <c r="IV80" s="91"/>
    </row>
    <row r="81" s="92" customFormat="1" ht="20.1" customHeight="1" spans="1:256">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c r="EO81" s="91"/>
      <c r="EP81" s="91"/>
      <c r="EQ81" s="91"/>
      <c r="ER81" s="91"/>
      <c r="ES81" s="91"/>
      <c r="ET81" s="91"/>
      <c r="EU81" s="91"/>
      <c r="EV81" s="91"/>
      <c r="EW81" s="91"/>
      <c r="EX81" s="91"/>
      <c r="EY81" s="91"/>
      <c r="EZ81" s="91"/>
      <c r="FA81" s="91"/>
      <c r="FB81" s="91"/>
      <c r="FC81" s="91"/>
      <c r="FD81" s="91"/>
      <c r="FE81" s="91"/>
      <c r="FF81" s="91"/>
      <c r="FG81" s="91"/>
      <c r="FH81" s="91"/>
      <c r="FI81" s="91"/>
      <c r="FJ81" s="91"/>
      <c r="FK81" s="91"/>
      <c r="FL81" s="91"/>
      <c r="FM81" s="91"/>
      <c r="FN81" s="91"/>
      <c r="FO81" s="91"/>
      <c r="FP81" s="91"/>
      <c r="FQ81" s="91"/>
      <c r="FR81" s="91"/>
      <c r="FS81" s="91"/>
      <c r="FT81" s="91"/>
      <c r="FU81" s="91"/>
      <c r="FV81" s="91"/>
      <c r="FW81" s="91"/>
      <c r="FX81" s="91"/>
      <c r="FY81" s="91"/>
      <c r="FZ81" s="91"/>
      <c r="GA81" s="91"/>
      <c r="GB81" s="91"/>
      <c r="GC81" s="91"/>
      <c r="GD81" s="91"/>
      <c r="GE81" s="91"/>
      <c r="GF81" s="91"/>
      <c r="GG81" s="91"/>
      <c r="GH81" s="91"/>
      <c r="GI81" s="91"/>
      <c r="GJ81" s="91"/>
      <c r="GK81" s="91"/>
      <c r="GL81" s="91"/>
      <c r="GM81" s="91"/>
      <c r="GN81" s="91"/>
      <c r="GO81" s="91"/>
      <c r="GP81" s="91"/>
      <c r="GQ81" s="91"/>
      <c r="GR81" s="91"/>
      <c r="GS81" s="91"/>
      <c r="GT81" s="91"/>
      <c r="GU81" s="91"/>
      <c r="GV81" s="91"/>
      <c r="GW81" s="91"/>
      <c r="GX81" s="91"/>
      <c r="GY81" s="91"/>
      <c r="GZ81" s="91"/>
      <c r="HA81" s="91"/>
      <c r="HB81" s="91"/>
      <c r="HC81" s="91"/>
      <c r="HD81" s="91"/>
      <c r="HE81" s="91"/>
      <c r="HF81" s="91"/>
      <c r="HG81" s="91"/>
      <c r="HH81" s="91"/>
      <c r="HI81" s="91"/>
      <c r="HJ81" s="91"/>
      <c r="HK81" s="91"/>
      <c r="HL81" s="91"/>
      <c r="HM81" s="91"/>
      <c r="HN81" s="91"/>
      <c r="HO81" s="91"/>
      <c r="HP81" s="91"/>
      <c r="HQ81" s="91"/>
      <c r="HR81" s="91"/>
      <c r="HS81" s="91"/>
      <c r="HT81" s="91"/>
      <c r="HU81" s="91"/>
      <c r="HV81" s="91"/>
      <c r="HW81" s="91"/>
      <c r="HX81" s="91"/>
      <c r="HY81" s="91"/>
      <c r="HZ81" s="91"/>
      <c r="IA81" s="91"/>
      <c r="IB81" s="91"/>
      <c r="IC81" s="91"/>
      <c r="ID81" s="91"/>
      <c r="IE81" s="91"/>
      <c r="IF81" s="91"/>
      <c r="IG81" s="91"/>
      <c r="IH81" s="91"/>
      <c r="II81" s="91"/>
      <c r="IJ81" s="91"/>
      <c r="IK81" s="91"/>
      <c r="IL81" s="91"/>
      <c r="IM81" s="91"/>
      <c r="IN81" s="91"/>
      <c r="IO81" s="91"/>
      <c r="IP81" s="91"/>
      <c r="IQ81" s="91"/>
      <c r="IR81" s="91"/>
      <c r="IS81" s="91"/>
      <c r="IT81" s="91"/>
      <c r="IU81" s="91"/>
      <c r="IV81" s="91"/>
    </row>
    <row r="82" s="92" customFormat="1" ht="20.1" customHeight="1" spans="1:256">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91"/>
      <c r="IK82" s="91"/>
      <c r="IL82" s="91"/>
      <c r="IM82" s="91"/>
      <c r="IN82" s="91"/>
      <c r="IO82" s="91"/>
      <c r="IP82" s="91"/>
      <c r="IQ82" s="91"/>
      <c r="IR82" s="91"/>
      <c r="IS82" s="91"/>
      <c r="IT82" s="91"/>
      <c r="IU82" s="91"/>
      <c r="IV82" s="91"/>
    </row>
    <row r="83" s="92" customFormat="1" ht="20.1" customHeight="1" spans="1:256">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91"/>
      <c r="IK83" s="91"/>
      <c r="IL83" s="91"/>
      <c r="IM83" s="91"/>
      <c r="IN83" s="91"/>
      <c r="IO83" s="91"/>
      <c r="IP83" s="91"/>
      <c r="IQ83" s="91"/>
      <c r="IR83" s="91"/>
      <c r="IS83" s="91"/>
      <c r="IT83" s="91"/>
      <c r="IU83" s="91"/>
      <c r="IV83" s="91"/>
    </row>
    <row r="84" s="92" customFormat="1" ht="20.1" customHeight="1" spans="1:256">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c r="BR84" s="91"/>
      <c r="BS84" s="91"/>
      <c r="BT84" s="91"/>
      <c r="BU84" s="91"/>
      <c r="BV84" s="91"/>
      <c r="BW84" s="91"/>
      <c r="BX84" s="91"/>
      <c r="BY84" s="91"/>
      <c r="BZ84" s="91"/>
      <c r="CA84" s="91"/>
      <c r="CB84" s="91"/>
      <c r="CC84" s="91"/>
      <c r="CD84" s="91"/>
      <c r="CE84" s="91"/>
      <c r="CF84" s="91"/>
      <c r="CG84" s="91"/>
      <c r="CH84" s="91"/>
      <c r="CI84" s="91"/>
      <c r="CJ84" s="91"/>
      <c r="CK84" s="91"/>
      <c r="CL84" s="91"/>
      <c r="CM84" s="91"/>
      <c r="CN84" s="91"/>
      <c r="CO84" s="91"/>
      <c r="CP84" s="91"/>
      <c r="CQ84" s="91"/>
      <c r="CR84" s="91"/>
      <c r="CS84" s="91"/>
      <c r="CT84" s="91"/>
      <c r="CU84" s="91"/>
      <c r="CV84" s="91"/>
      <c r="CW84" s="91"/>
      <c r="CX84" s="91"/>
      <c r="CY84" s="91"/>
      <c r="CZ84" s="91"/>
      <c r="DA84" s="91"/>
      <c r="DB84" s="91"/>
      <c r="DC84" s="91"/>
      <c r="DD84" s="91"/>
      <c r="DE84" s="91"/>
      <c r="DF84" s="91"/>
      <c r="DG84" s="91"/>
      <c r="DH84" s="91"/>
      <c r="DI84" s="91"/>
      <c r="DJ84" s="91"/>
      <c r="DK84" s="91"/>
      <c r="DL84" s="91"/>
      <c r="DM84" s="91"/>
      <c r="DN84" s="91"/>
      <c r="DO84" s="91"/>
      <c r="DP84" s="91"/>
      <c r="DQ84" s="91"/>
      <c r="DR84" s="91"/>
      <c r="DS84" s="91"/>
      <c r="DT84" s="91"/>
      <c r="DU84" s="91"/>
      <c r="DV84" s="91"/>
      <c r="DW84" s="91"/>
      <c r="DX84" s="91"/>
      <c r="DY84" s="91"/>
      <c r="DZ84" s="91"/>
      <c r="EA84" s="91"/>
      <c r="EB84" s="91"/>
      <c r="EC84" s="91"/>
      <c r="ED84" s="91"/>
      <c r="EE84" s="91"/>
      <c r="EF84" s="91"/>
      <c r="EG84" s="91"/>
      <c r="EH84" s="91"/>
      <c r="EI84" s="91"/>
      <c r="EJ84" s="91"/>
      <c r="EK84" s="91"/>
      <c r="EL84" s="91"/>
      <c r="EM84" s="91"/>
      <c r="EN84" s="91"/>
      <c r="EO84" s="91"/>
      <c r="EP84" s="91"/>
      <c r="EQ84" s="91"/>
      <c r="ER84" s="91"/>
      <c r="ES84" s="91"/>
      <c r="ET84" s="91"/>
      <c r="EU84" s="91"/>
      <c r="EV84" s="91"/>
      <c r="EW84" s="91"/>
      <c r="EX84" s="91"/>
      <c r="EY84" s="91"/>
      <c r="EZ84" s="91"/>
      <c r="FA84" s="91"/>
      <c r="FB84" s="91"/>
      <c r="FC84" s="91"/>
      <c r="FD84" s="91"/>
      <c r="FE84" s="91"/>
      <c r="FF84" s="91"/>
      <c r="FG84" s="91"/>
      <c r="FH84" s="91"/>
      <c r="FI84" s="91"/>
      <c r="FJ84" s="91"/>
      <c r="FK84" s="91"/>
      <c r="FL84" s="91"/>
      <c r="FM84" s="91"/>
      <c r="FN84" s="91"/>
      <c r="FO84" s="91"/>
      <c r="FP84" s="91"/>
      <c r="FQ84" s="91"/>
      <c r="FR84" s="91"/>
      <c r="FS84" s="91"/>
      <c r="FT84" s="91"/>
      <c r="FU84" s="91"/>
      <c r="FV84" s="91"/>
      <c r="FW84" s="91"/>
      <c r="FX84" s="91"/>
      <c r="FY84" s="91"/>
      <c r="FZ84" s="91"/>
      <c r="GA84" s="91"/>
      <c r="GB84" s="91"/>
      <c r="GC84" s="91"/>
      <c r="GD84" s="91"/>
      <c r="GE84" s="91"/>
      <c r="GF84" s="91"/>
      <c r="GG84" s="91"/>
      <c r="GH84" s="91"/>
      <c r="GI84" s="91"/>
      <c r="GJ84" s="91"/>
      <c r="GK84" s="91"/>
      <c r="GL84" s="91"/>
      <c r="GM84" s="91"/>
      <c r="GN84" s="91"/>
      <c r="GO84" s="91"/>
      <c r="GP84" s="91"/>
      <c r="GQ84" s="91"/>
      <c r="GR84" s="91"/>
      <c r="GS84" s="91"/>
      <c r="GT84" s="91"/>
      <c r="GU84" s="91"/>
      <c r="GV84" s="91"/>
      <c r="GW84" s="91"/>
      <c r="GX84" s="91"/>
      <c r="GY84" s="91"/>
      <c r="GZ84" s="91"/>
      <c r="HA84" s="91"/>
      <c r="HB84" s="91"/>
      <c r="HC84" s="91"/>
      <c r="HD84" s="91"/>
      <c r="HE84" s="91"/>
      <c r="HF84" s="91"/>
      <c r="HG84" s="91"/>
      <c r="HH84" s="91"/>
      <c r="HI84" s="91"/>
      <c r="HJ84" s="91"/>
      <c r="HK84" s="91"/>
      <c r="HL84" s="91"/>
      <c r="HM84" s="91"/>
      <c r="HN84" s="91"/>
      <c r="HO84" s="91"/>
      <c r="HP84" s="91"/>
      <c r="HQ84" s="91"/>
      <c r="HR84" s="91"/>
      <c r="HS84" s="91"/>
      <c r="HT84" s="91"/>
      <c r="HU84" s="91"/>
      <c r="HV84" s="91"/>
      <c r="HW84" s="91"/>
      <c r="HX84" s="91"/>
      <c r="HY84" s="91"/>
      <c r="HZ84" s="91"/>
      <c r="IA84" s="91"/>
      <c r="IB84" s="91"/>
      <c r="IC84" s="91"/>
      <c r="ID84" s="91"/>
      <c r="IE84" s="91"/>
      <c r="IF84" s="91"/>
      <c r="IG84" s="91"/>
      <c r="IH84" s="91"/>
      <c r="II84" s="91"/>
      <c r="IJ84" s="91"/>
      <c r="IK84" s="91"/>
      <c r="IL84" s="91"/>
      <c r="IM84" s="91"/>
      <c r="IN84" s="91"/>
      <c r="IO84" s="91"/>
      <c r="IP84" s="91"/>
      <c r="IQ84" s="91"/>
      <c r="IR84" s="91"/>
      <c r="IS84" s="91"/>
      <c r="IT84" s="91"/>
      <c r="IU84" s="91"/>
      <c r="IV84" s="91"/>
    </row>
    <row r="85" s="92" customFormat="1" ht="20.1" customHeight="1" spans="1:256">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c r="BR85" s="91"/>
      <c r="BS85" s="91"/>
      <c r="BT85" s="91"/>
      <c r="BU85" s="91"/>
      <c r="BV85" s="91"/>
      <c r="BW85" s="91"/>
      <c r="BX85" s="91"/>
      <c r="BY85" s="91"/>
      <c r="BZ85" s="91"/>
      <c r="CA85" s="91"/>
      <c r="CB85" s="91"/>
      <c r="CC85" s="91"/>
      <c r="CD85" s="91"/>
      <c r="CE85" s="91"/>
      <c r="CF85" s="91"/>
      <c r="CG85" s="91"/>
      <c r="CH85" s="91"/>
      <c r="CI85" s="91"/>
      <c r="CJ85" s="91"/>
      <c r="CK85" s="91"/>
      <c r="CL85" s="91"/>
      <c r="CM85" s="91"/>
      <c r="CN85" s="91"/>
      <c r="CO85" s="91"/>
      <c r="CP85" s="91"/>
      <c r="CQ85" s="91"/>
      <c r="CR85" s="91"/>
      <c r="CS85" s="91"/>
      <c r="CT85" s="91"/>
      <c r="CU85" s="91"/>
      <c r="CV85" s="91"/>
      <c r="CW85" s="91"/>
      <c r="CX85" s="91"/>
      <c r="CY85" s="91"/>
      <c r="CZ85" s="91"/>
      <c r="DA85" s="91"/>
      <c r="DB85" s="91"/>
      <c r="DC85" s="91"/>
      <c r="DD85" s="91"/>
      <c r="DE85" s="91"/>
      <c r="DF85" s="91"/>
      <c r="DG85" s="91"/>
      <c r="DH85" s="91"/>
      <c r="DI85" s="91"/>
      <c r="DJ85" s="91"/>
      <c r="DK85" s="91"/>
      <c r="DL85" s="91"/>
      <c r="DM85" s="91"/>
      <c r="DN85" s="91"/>
      <c r="DO85" s="91"/>
      <c r="DP85" s="91"/>
      <c r="DQ85" s="91"/>
      <c r="DR85" s="91"/>
      <c r="DS85" s="91"/>
      <c r="DT85" s="91"/>
      <c r="DU85" s="91"/>
      <c r="DV85" s="91"/>
      <c r="DW85" s="91"/>
      <c r="DX85" s="91"/>
      <c r="DY85" s="91"/>
      <c r="DZ85" s="91"/>
      <c r="EA85" s="91"/>
      <c r="EB85" s="91"/>
      <c r="EC85" s="91"/>
      <c r="ED85" s="91"/>
      <c r="EE85" s="91"/>
      <c r="EF85" s="91"/>
      <c r="EG85" s="91"/>
      <c r="EH85" s="91"/>
      <c r="EI85" s="91"/>
      <c r="EJ85" s="91"/>
      <c r="EK85" s="91"/>
      <c r="EL85" s="91"/>
      <c r="EM85" s="91"/>
      <c r="EN85" s="91"/>
      <c r="EO85" s="91"/>
      <c r="EP85" s="91"/>
      <c r="EQ85" s="91"/>
      <c r="ER85" s="91"/>
      <c r="ES85" s="91"/>
      <c r="ET85" s="91"/>
      <c r="EU85" s="91"/>
      <c r="EV85" s="91"/>
      <c r="EW85" s="91"/>
      <c r="EX85" s="91"/>
      <c r="EY85" s="91"/>
      <c r="EZ85" s="91"/>
      <c r="FA85" s="91"/>
      <c r="FB85" s="91"/>
      <c r="FC85" s="91"/>
      <c r="FD85" s="91"/>
      <c r="FE85" s="91"/>
      <c r="FF85" s="91"/>
      <c r="FG85" s="91"/>
      <c r="FH85" s="91"/>
      <c r="FI85" s="91"/>
      <c r="FJ85" s="91"/>
      <c r="FK85" s="91"/>
      <c r="FL85" s="91"/>
      <c r="FM85" s="91"/>
      <c r="FN85" s="91"/>
      <c r="FO85" s="91"/>
      <c r="FP85" s="91"/>
      <c r="FQ85" s="91"/>
      <c r="FR85" s="91"/>
      <c r="FS85" s="91"/>
      <c r="FT85" s="91"/>
      <c r="FU85" s="91"/>
      <c r="FV85" s="91"/>
      <c r="FW85" s="91"/>
      <c r="FX85" s="91"/>
      <c r="FY85" s="91"/>
      <c r="FZ85" s="91"/>
      <c r="GA85" s="91"/>
      <c r="GB85" s="91"/>
      <c r="GC85" s="91"/>
      <c r="GD85" s="91"/>
      <c r="GE85" s="91"/>
      <c r="GF85" s="91"/>
      <c r="GG85" s="91"/>
      <c r="GH85" s="91"/>
      <c r="GI85" s="91"/>
      <c r="GJ85" s="91"/>
      <c r="GK85" s="91"/>
      <c r="GL85" s="91"/>
      <c r="GM85" s="91"/>
      <c r="GN85" s="91"/>
      <c r="GO85" s="91"/>
      <c r="GP85" s="91"/>
      <c r="GQ85" s="91"/>
      <c r="GR85" s="91"/>
      <c r="GS85" s="91"/>
      <c r="GT85" s="91"/>
      <c r="GU85" s="91"/>
      <c r="GV85" s="91"/>
      <c r="GW85" s="91"/>
      <c r="GX85" s="91"/>
      <c r="GY85" s="91"/>
      <c r="GZ85" s="91"/>
      <c r="HA85" s="91"/>
      <c r="HB85" s="91"/>
      <c r="HC85" s="91"/>
      <c r="HD85" s="91"/>
      <c r="HE85" s="91"/>
      <c r="HF85" s="91"/>
      <c r="HG85" s="91"/>
      <c r="HH85" s="91"/>
      <c r="HI85" s="91"/>
      <c r="HJ85" s="91"/>
      <c r="HK85" s="91"/>
      <c r="HL85" s="91"/>
      <c r="HM85" s="91"/>
      <c r="HN85" s="91"/>
      <c r="HO85" s="91"/>
      <c r="HP85" s="91"/>
      <c r="HQ85" s="91"/>
      <c r="HR85" s="91"/>
      <c r="HS85" s="91"/>
      <c r="HT85" s="91"/>
      <c r="HU85" s="91"/>
      <c r="HV85" s="91"/>
      <c r="HW85" s="91"/>
      <c r="HX85" s="91"/>
      <c r="HY85" s="91"/>
      <c r="HZ85" s="91"/>
      <c r="IA85" s="91"/>
      <c r="IB85" s="91"/>
      <c r="IC85" s="91"/>
      <c r="ID85" s="91"/>
      <c r="IE85" s="91"/>
      <c r="IF85" s="91"/>
      <c r="IG85" s="91"/>
      <c r="IH85" s="91"/>
      <c r="II85" s="91"/>
      <c r="IJ85" s="91"/>
      <c r="IK85" s="91"/>
      <c r="IL85" s="91"/>
      <c r="IM85" s="91"/>
      <c r="IN85" s="91"/>
      <c r="IO85" s="91"/>
      <c r="IP85" s="91"/>
      <c r="IQ85" s="91"/>
      <c r="IR85" s="91"/>
      <c r="IS85" s="91"/>
      <c r="IT85" s="91"/>
      <c r="IU85" s="91"/>
      <c r="IV85" s="91"/>
    </row>
    <row r="86" s="92" customFormat="1" ht="20.1" customHeight="1" spans="1:256">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c r="CV86" s="91"/>
      <c r="CW86" s="91"/>
      <c r="CX86" s="91"/>
      <c r="CY86" s="91"/>
      <c r="CZ86" s="91"/>
      <c r="DA86" s="91"/>
      <c r="DB86" s="91"/>
      <c r="DC86" s="91"/>
      <c r="DD86" s="91"/>
      <c r="DE86" s="91"/>
      <c r="DF86" s="91"/>
      <c r="DG86" s="91"/>
      <c r="DH86" s="91"/>
      <c r="DI86" s="91"/>
      <c r="DJ86" s="91"/>
      <c r="DK86" s="91"/>
      <c r="DL86" s="91"/>
      <c r="DM86" s="91"/>
      <c r="DN86" s="91"/>
      <c r="DO86" s="91"/>
      <c r="DP86" s="91"/>
      <c r="DQ86" s="91"/>
      <c r="DR86" s="91"/>
      <c r="DS86" s="91"/>
      <c r="DT86" s="91"/>
      <c r="DU86" s="91"/>
      <c r="DV86" s="91"/>
      <c r="DW86" s="91"/>
      <c r="DX86" s="91"/>
      <c r="DY86" s="91"/>
      <c r="DZ86" s="91"/>
      <c r="EA86" s="91"/>
      <c r="EB86" s="91"/>
      <c r="EC86" s="91"/>
      <c r="ED86" s="91"/>
      <c r="EE86" s="91"/>
      <c r="EF86" s="91"/>
      <c r="EG86" s="91"/>
      <c r="EH86" s="91"/>
      <c r="EI86" s="91"/>
      <c r="EJ86" s="91"/>
      <c r="EK86" s="91"/>
      <c r="EL86" s="91"/>
      <c r="EM86" s="91"/>
      <c r="EN86" s="91"/>
      <c r="EO86" s="91"/>
      <c r="EP86" s="91"/>
      <c r="EQ86" s="91"/>
      <c r="ER86" s="91"/>
      <c r="ES86" s="91"/>
      <c r="ET86" s="91"/>
      <c r="EU86" s="91"/>
      <c r="EV86" s="91"/>
      <c r="EW86" s="91"/>
      <c r="EX86" s="91"/>
      <c r="EY86" s="91"/>
      <c r="EZ86" s="91"/>
      <c r="FA86" s="91"/>
      <c r="FB86" s="91"/>
      <c r="FC86" s="91"/>
      <c r="FD86" s="91"/>
      <c r="FE86" s="91"/>
      <c r="FF86" s="91"/>
      <c r="FG86" s="91"/>
      <c r="FH86" s="91"/>
      <c r="FI86" s="91"/>
      <c r="FJ86" s="91"/>
      <c r="FK86" s="91"/>
      <c r="FL86" s="91"/>
      <c r="FM86" s="91"/>
      <c r="FN86" s="91"/>
      <c r="FO86" s="91"/>
      <c r="FP86" s="91"/>
      <c r="FQ86" s="91"/>
      <c r="FR86" s="91"/>
      <c r="FS86" s="91"/>
      <c r="FT86" s="91"/>
      <c r="FU86" s="91"/>
      <c r="FV86" s="91"/>
      <c r="FW86" s="91"/>
      <c r="FX86" s="91"/>
      <c r="FY86" s="91"/>
      <c r="FZ86" s="91"/>
      <c r="GA86" s="91"/>
      <c r="GB86" s="91"/>
      <c r="GC86" s="91"/>
      <c r="GD86" s="91"/>
      <c r="GE86" s="91"/>
      <c r="GF86" s="91"/>
      <c r="GG86" s="91"/>
      <c r="GH86" s="91"/>
      <c r="GI86" s="91"/>
      <c r="GJ86" s="91"/>
      <c r="GK86" s="91"/>
      <c r="GL86" s="91"/>
      <c r="GM86" s="91"/>
      <c r="GN86" s="91"/>
      <c r="GO86" s="91"/>
      <c r="GP86" s="91"/>
      <c r="GQ86" s="91"/>
      <c r="GR86" s="91"/>
      <c r="GS86" s="91"/>
      <c r="GT86" s="91"/>
      <c r="GU86" s="91"/>
      <c r="GV86" s="91"/>
      <c r="GW86" s="91"/>
      <c r="GX86" s="91"/>
      <c r="GY86" s="91"/>
      <c r="GZ86" s="91"/>
      <c r="HA86" s="91"/>
      <c r="HB86" s="91"/>
      <c r="HC86" s="91"/>
      <c r="HD86" s="91"/>
      <c r="HE86" s="91"/>
      <c r="HF86" s="91"/>
      <c r="HG86" s="91"/>
      <c r="HH86" s="91"/>
      <c r="HI86" s="91"/>
      <c r="HJ86" s="91"/>
      <c r="HK86" s="91"/>
      <c r="HL86" s="91"/>
      <c r="HM86" s="91"/>
      <c r="HN86" s="91"/>
      <c r="HO86" s="91"/>
      <c r="HP86" s="91"/>
      <c r="HQ86" s="91"/>
      <c r="HR86" s="91"/>
      <c r="HS86" s="91"/>
      <c r="HT86" s="91"/>
      <c r="HU86" s="91"/>
      <c r="HV86" s="91"/>
      <c r="HW86" s="91"/>
      <c r="HX86" s="91"/>
      <c r="HY86" s="91"/>
      <c r="HZ86" s="91"/>
      <c r="IA86" s="91"/>
      <c r="IB86" s="91"/>
      <c r="IC86" s="91"/>
      <c r="ID86" s="91"/>
      <c r="IE86" s="91"/>
      <c r="IF86" s="91"/>
      <c r="IG86" s="91"/>
      <c r="IH86" s="91"/>
      <c r="II86" s="91"/>
      <c r="IJ86" s="91"/>
      <c r="IK86" s="91"/>
      <c r="IL86" s="91"/>
      <c r="IM86" s="91"/>
      <c r="IN86" s="91"/>
      <c r="IO86" s="91"/>
      <c r="IP86" s="91"/>
      <c r="IQ86" s="91"/>
      <c r="IR86" s="91"/>
      <c r="IS86" s="91"/>
      <c r="IT86" s="91"/>
      <c r="IU86" s="91"/>
      <c r="IV86" s="91"/>
    </row>
    <row r="87" s="92" customFormat="1" ht="20.1" customHeight="1" spans="1:256">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91"/>
      <c r="DF87" s="91"/>
      <c r="DG87" s="91"/>
      <c r="DH87" s="91"/>
      <c r="DI87" s="91"/>
      <c r="DJ87" s="91"/>
      <c r="DK87" s="91"/>
      <c r="DL87" s="91"/>
      <c r="DM87" s="91"/>
      <c r="DN87" s="91"/>
      <c r="DO87" s="91"/>
      <c r="DP87" s="91"/>
      <c r="DQ87" s="91"/>
      <c r="DR87" s="91"/>
      <c r="DS87" s="91"/>
      <c r="DT87" s="91"/>
      <c r="DU87" s="91"/>
      <c r="DV87" s="91"/>
      <c r="DW87" s="91"/>
      <c r="DX87" s="91"/>
      <c r="DY87" s="91"/>
      <c r="DZ87" s="91"/>
      <c r="EA87" s="91"/>
      <c r="EB87" s="91"/>
      <c r="EC87" s="91"/>
      <c r="ED87" s="91"/>
      <c r="EE87" s="91"/>
      <c r="EF87" s="91"/>
      <c r="EG87" s="91"/>
      <c r="EH87" s="91"/>
      <c r="EI87" s="91"/>
      <c r="EJ87" s="91"/>
      <c r="EK87" s="91"/>
      <c r="EL87" s="91"/>
      <c r="EM87" s="91"/>
      <c r="EN87" s="91"/>
      <c r="EO87" s="91"/>
      <c r="EP87" s="91"/>
      <c r="EQ87" s="91"/>
      <c r="ER87" s="91"/>
      <c r="ES87" s="91"/>
      <c r="ET87" s="91"/>
      <c r="EU87" s="91"/>
      <c r="EV87" s="91"/>
      <c r="EW87" s="91"/>
      <c r="EX87" s="91"/>
      <c r="EY87" s="91"/>
      <c r="EZ87" s="91"/>
      <c r="FA87" s="91"/>
      <c r="FB87" s="91"/>
      <c r="FC87" s="91"/>
      <c r="FD87" s="91"/>
      <c r="FE87" s="91"/>
      <c r="FF87" s="91"/>
      <c r="FG87" s="91"/>
      <c r="FH87" s="91"/>
      <c r="FI87" s="91"/>
      <c r="FJ87" s="91"/>
      <c r="FK87" s="91"/>
      <c r="FL87" s="91"/>
      <c r="FM87" s="91"/>
      <c r="FN87" s="91"/>
      <c r="FO87" s="91"/>
      <c r="FP87" s="91"/>
      <c r="FQ87" s="91"/>
      <c r="FR87" s="91"/>
      <c r="FS87" s="91"/>
      <c r="FT87" s="91"/>
      <c r="FU87" s="91"/>
      <c r="FV87" s="91"/>
      <c r="FW87" s="91"/>
      <c r="FX87" s="91"/>
      <c r="FY87" s="91"/>
      <c r="FZ87" s="91"/>
      <c r="GA87" s="91"/>
      <c r="GB87" s="91"/>
      <c r="GC87" s="91"/>
      <c r="GD87" s="91"/>
      <c r="GE87" s="91"/>
      <c r="GF87" s="91"/>
      <c r="GG87" s="91"/>
      <c r="GH87" s="91"/>
      <c r="GI87" s="91"/>
      <c r="GJ87" s="91"/>
      <c r="GK87" s="91"/>
      <c r="GL87" s="91"/>
      <c r="GM87" s="91"/>
      <c r="GN87" s="91"/>
      <c r="GO87" s="91"/>
      <c r="GP87" s="91"/>
      <c r="GQ87" s="91"/>
      <c r="GR87" s="91"/>
      <c r="GS87" s="91"/>
      <c r="GT87" s="91"/>
      <c r="GU87" s="91"/>
      <c r="GV87" s="91"/>
      <c r="GW87" s="91"/>
      <c r="GX87" s="91"/>
      <c r="GY87" s="91"/>
      <c r="GZ87" s="91"/>
      <c r="HA87" s="91"/>
      <c r="HB87" s="91"/>
      <c r="HC87" s="91"/>
      <c r="HD87" s="91"/>
      <c r="HE87" s="91"/>
      <c r="HF87" s="91"/>
      <c r="HG87" s="91"/>
      <c r="HH87" s="91"/>
      <c r="HI87" s="91"/>
      <c r="HJ87" s="91"/>
      <c r="HK87" s="91"/>
      <c r="HL87" s="91"/>
      <c r="HM87" s="91"/>
      <c r="HN87" s="91"/>
      <c r="HO87" s="91"/>
      <c r="HP87" s="91"/>
      <c r="HQ87" s="91"/>
      <c r="HR87" s="91"/>
      <c r="HS87" s="91"/>
      <c r="HT87" s="91"/>
      <c r="HU87" s="91"/>
      <c r="HV87" s="91"/>
      <c r="HW87" s="91"/>
      <c r="HX87" s="91"/>
      <c r="HY87" s="91"/>
      <c r="HZ87" s="91"/>
      <c r="IA87" s="91"/>
      <c r="IB87" s="91"/>
      <c r="IC87" s="91"/>
      <c r="ID87" s="91"/>
      <c r="IE87" s="91"/>
      <c r="IF87" s="91"/>
      <c r="IG87" s="91"/>
      <c r="IH87" s="91"/>
      <c r="II87" s="91"/>
      <c r="IJ87" s="91"/>
      <c r="IK87" s="91"/>
      <c r="IL87" s="91"/>
      <c r="IM87" s="91"/>
      <c r="IN87" s="91"/>
      <c r="IO87" s="91"/>
      <c r="IP87" s="91"/>
      <c r="IQ87" s="91"/>
      <c r="IR87" s="91"/>
      <c r="IS87" s="91"/>
      <c r="IT87" s="91"/>
      <c r="IU87" s="91"/>
      <c r="IV87" s="91"/>
    </row>
    <row r="88" s="92" customFormat="1" ht="20.1" customHeight="1" spans="1:256">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91"/>
      <c r="CU88" s="91"/>
      <c r="CV88" s="91"/>
      <c r="CW88" s="91"/>
      <c r="CX88" s="91"/>
      <c r="CY88" s="91"/>
      <c r="CZ88" s="91"/>
      <c r="DA88" s="91"/>
      <c r="DB88" s="91"/>
      <c r="DC88" s="91"/>
      <c r="DD88" s="91"/>
      <c r="DE88" s="91"/>
      <c r="DF88" s="91"/>
      <c r="DG88" s="91"/>
      <c r="DH88" s="91"/>
      <c r="DI88" s="91"/>
      <c r="DJ88" s="91"/>
      <c r="DK88" s="91"/>
      <c r="DL88" s="91"/>
      <c r="DM88" s="91"/>
      <c r="DN88" s="91"/>
      <c r="DO88" s="91"/>
      <c r="DP88" s="91"/>
      <c r="DQ88" s="91"/>
      <c r="DR88" s="91"/>
      <c r="DS88" s="91"/>
      <c r="DT88" s="91"/>
      <c r="DU88" s="91"/>
      <c r="DV88" s="91"/>
      <c r="DW88" s="91"/>
      <c r="DX88" s="91"/>
      <c r="DY88" s="91"/>
      <c r="DZ88" s="91"/>
      <c r="EA88" s="91"/>
      <c r="EB88" s="91"/>
      <c r="EC88" s="91"/>
      <c r="ED88" s="91"/>
      <c r="EE88" s="91"/>
      <c r="EF88" s="91"/>
      <c r="EG88" s="91"/>
      <c r="EH88" s="91"/>
      <c r="EI88" s="91"/>
      <c r="EJ88" s="91"/>
      <c r="EK88" s="91"/>
      <c r="EL88" s="91"/>
      <c r="EM88" s="91"/>
      <c r="EN88" s="91"/>
      <c r="EO88" s="91"/>
      <c r="EP88" s="91"/>
      <c r="EQ88" s="91"/>
      <c r="ER88" s="91"/>
      <c r="ES88" s="91"/>
      <c r="ET88" s="91"/>
      <c r="EU88" s="91"/>
      <c r="EV88" s="91"/>
      <c r="EW88" s="91"/>
      <c r="EX88" s="91"/>
      <c r="EY88" s="91"/>
      <c r="EZ88" s="91"/>
      <c r="FA88" s="91"/>
      <c r="FB88" s="91"/>
      <c r="FC88" s="91"/>
      <c r="FD88" s="91"/>
      <c r="FE88" s="91"/>
      <c r="FF88" s="91"/>
      <c r="FG88" s="91"/>
      <c r="FH88" s="91"/>
      <c r="FI88" s="91"/>
      <c r="FJ88" s="91"/>
      <c r="FK88" s="91"/>
      <c r="FL88" s="91"/>
      <c r="FM88" s="91"/>
      <c r="FN88" s="91"/>
      <c r="FO88" s="91"/>
      <c r="FP88" s="91"/>
      <c r="FQ88" s="91"/>
      <c r="FR88" s="91"/>
      <c r="FS88" s="91"/>
      <c r="FT88" s="91"/>
      <c r="FU88" s="91"/>
      <c r="FV88" s="91"/>
      <c r="FW88" s="91"/>
      <c r="FX88" s="91"/>
      <c r="FY88" s="91"/>
      <c r="FZ88" s="91"/>
      <c r="GA88" s="91"/>
      <c r="GB88" s="91"/>
      <c r="GC88" s="91"/>
      <c r="GD88" s="91"/>
      <c r="GE88" s="91"/>
      <c r="GF88" s="91"/>
      <c r="GG88" s="91"/>
      <c r="GH88" s="91"/>
      <c r="GI88" s="91"/>
      <c r="GJ88" s="91"/>
      <c r="GK88" s="91"/>
      <c r="GL88" s="91"/>
      <c r="GM88" s="91"/>
      <c r="GN88" s="91"/>
      <c r="GO88" s="91"/>
      <c r="GP88" s="91"/>
      <c r="GQ88" s="91"/>
      <c r="GR88" s="91"/>
      <c r="GS88" s="91"/>
      <c r="GT88" s="91"/>
      <c r="GU88" s="91"/>
      <c r="GV88" s="91"/>
      <c r="GW88" s="91"/>
      <c r="GX88" s="91"/>
      <c r="GY88" s="91"/>
      <c r="GZ88" s="91"/>
      <c r="HA88" s="91"/>
      <c r="HB88" s="91"/>
      <c r="HC88" s="91"/>
      <c r="HD88" s="91"/>
      <c r="HE88" s="91"/>
      <c r="HF88" s="91"/>
      <c r="HG88" s="91"/>
      <c r="HH88" s="91"/>
      <c r="HI88" s="91"/>
      <c r="HJ88" s="91"/>
      <c r="HK88" s="91"/>
      <c r="HL88" s="91"/>
      <c r="HM88" s="91"/>
      <c r="HN88" s="91"/>
      <c r="HO88" s="91"/>
      <c r="HP88" s="91"/>
      <c r="HQ88" s="91"/>
      <c r="HR88" s="91"/>
      <c r="HS88" s="91"/>
      <c r="HT88" s="91"/>
      <c r="HU88" s="91"/>
      <c r="HV88" s="91"/>
      <c r="HW88" s="91"/>
      <c r="HX88" s="91"/>
      <c r="HY88" s="91"/>
      <c r="HZ88" s="91"/>
      <c r="IA88" s="91"/>
      <c r="IB88" s="91"/>
      <c r="IC88" s="91"/>
      <c r="ID88" s="91"/>
      <c r="IE88" s="91"/>
      <c r="IF88" s="91"/>
      <c r="IG88" s="91"/>
      <c r="IH88" s="91"/>
      <c r="II88" s="91"/>
      <c r="IJ88" s="91"/>
      <c r="IK88" s="91"/>
      <c r="IL88" s="91"/>
      <c r="IM88" s="91"/>
      <c r="IN88" s="91"/>
      <c r="IO88" s="91"/>
      <c r="IP88" s="91"/>
      <c r="IQ88" s="91"/>
      <c r="IR88" s="91"/>
      <c r="IS88" s="91"/>
      <c r="IT88" s="91"/>
      <c r="IU88" s="91"/>
      <c r="IV88" s="91"/>
    </row>
    <row r="89" s="92" customFormat="1" ht="20.1" customHeight="1" spans="1:256">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91"/>
      <c r="BW89" s="91"/>
      <c r="BX89" s="91"/>
      <c r="BY89" s="91"/>
      <c r="BZ89" s="91"/>
      <c r="CA89" s="91"/>
      <c r="CB89" s="91"/>
      <c r="CC89" s="91"/>
      <c r="CD89" s="91"/>
      <c r="CE89" s="91"/>
      <c r="CF89" s="91"/>
      <c r="CG89" s="91"/>
      <c r="CH89" s="91"/>
      <c r="CI89" s="91"/>
      <c r="CJ89" s="91"/>
      <c r="CK89" s="91"/>
      <c r="CL89" s="91"/>
      <c r="CM89" s="91"/>
      <c r="CN89" s="91"/>
      <c r="CO89" s="91"/>
      <c r="CP89" s="91"/>
      <c r="CQ89" s="91"/>
      <c r="CR89" s="91"/>
      <c r="CS89" s="91"/>
      <c r="CT89" s="91"/>
      <c r="CU89" s="91"/>
      <c r="CV89" s="91"/>
      <c r="CW89" s="91"/>
      <c r="CX89" s="91"/>
      <c r="CY89" s="91"/>
      <c r="CZ89" s="91"/>
      <c r="DA89" s="91"/>
      <c r="DB89" s="91"/>
      <c r="DC89" s="91"/>
      <c r="DD89" s="91"/>
      <c r="DE89" s="91"/>
      <c r="DF89" s="91"/>
      <c r="DG89" s="91"/>
      <c r="DH89" s="91"/>
      <c r="DI89" s="91"/>
      <c r="DJ89" s="91"/>
      <c r="DK89" s="91"/>
      <c r="DL89" s="91"/>
      <c r="DM89" s="91"/>
      <c r="DN89" s="91"/>
      <c r="DO89" s="91"/>
      <c r="DP89" s="91"/>
      <c r="DQ89" s="91"/>
      <c r="DR89" s="91"/>
      <c r="DS89" s="91"/>
      <c r="DT89" s="91"/>
      <c r="DU89" s="91"/>
      <c r="DV89" s="91"/>
      <c r="DW89" s="91"/>
      <c r="DX89" s="91"/>
      <c r="DY89" s="91"/>
      <c r="DZ89" s="91"/>
      <c r="EA89" s="91"/>
      <c r="EB89" s="91"/>
      <c r="EC89" s="91"/>
      <c r="ED89" s="91"/>
      <c r="EE89" s="91"/>
      <c r="EF89" s="91"/>
      <c r="EG89" s="91"/>
      <c r="EH89" s="91"/>
      <c r="EI89" s="91"/>
      <c r="EJ89" s="91"/>
      <c r="EK89" s="91"/>
      <c r="EL89" s="91"/>
      <c r="EM89" s="91"/>
      <c r="EN89" s="91"/>
      <c r="EO89" s="91"/>
      <c r="EP89" s="91"/>
      <c r="EQ89" s="91"/>
      <c r="ER89" s="91"/>
      <c r="ES89" s="91"/>
      <c r="ET89" s="91"/>
      <c r="EU89" s="91"/>
      <c r="EV89" s="91"/>
      <c r="EW89" s="91"/>
      <c r="EX89" s="91"/>
      <c r="EY89" s="91"/>
      <c r="EZ89" s="91"/>
      <c r="FA89" s="91"/>
      <c r="FB89" s="91"/>
      <c r="FC89" s="91"/>
      <c r="FD89" s="91"/>
      <c r="FE89" s="91"/>
      <c r="FF89" s="91"/>
      <c r="FG89" s="91"/>
      <c r="FH89" s="91"/>
      <c r="FI89" s="91"/>
      <c r="FJ89" s="91"/>
      <c r="FK89" s="91"/>
      <c r="FL89" s="91"/>
      <c r="FM89" s="91"/>
      <c r="FN89" s="91"/>
      <c r="FO89" s="91"/>
      <c r="FP89" s="91"/>
      <c r="FQ89" s="91"/>
      <c r="FR89" s="91"/>
      <c r="FS89" s="91"/>
      <c r="FT89" s="91"/>
      <c r="FU89" s="91"/>
      <c r="FV89" s="91"/>
      <c r="FW89" s="91"/>
      <c r="FX89" s="91"/>
      <c r="FY89" s="91"/>
      <c r="FZ89" s="91"/>
      <c r="GA89" s="91"/>
      <c r="GB89" s="91"/>
      <c r="GC89" s="91"/>
      <c r="GD89" s="91"/>
      <c r="GE89" s="91"/>
      <c r="GF89" s="91"/>
      <c r="GG89" s="91"/>
      <c r="GH89" s="91"/>
      <c r="GI89" s="91"/>
      <c r="GJ89" s="91"/>
      <c r="GK89" s="91"/>
      <c r="GL89" s="91"/>
      <c r="GM89" s="91"/>
      <c r="GN89" s="91"/>
      <c r="GO89" s="91"/>
      <c r="GP89" s="91"/>
      <c r="GQ89" s="91"/>
      <c r="GR89" s="91"/>
      <c r="GS89" s="91"/>
      <c r="GT89" s="91"/>
      <c r="GU89" s="91"/>
      <c r="GV89" s="91"/>
      <c r="GW89" s="91"/>
      <c r="GX89" s="91"/>
      <c r="GY89" s="91"/>
      <c r="GZ89" s="91"/>
      <c r="HA89" s="91"/>
      <c r="HB89" s="91"/>
      <c r="HC89" s="91"/>
      <c r="HD89" s="91"/>
      <c r="HE89" s="91"/>
      <c r="HF89" s="91"/>
      <c r="HG89" s="91"/>
      <c r="HH89" s="91"/>
      <c r="HI89" s="91"/>
      <c r="HJ89" s="91"/>
      <c r="HK89" s="91"/>
      <c r="HL89" s="91"/>
      <c r="HM89" s="91"/>
      <c r="HN89" s="91"/>
      <c r="HO89" s="91"/>
      <c r="HP89" s="91"/>
      <c r="HQ89" s="91"/>
      <c r="HR89" s="91"/>
      <c r="HS89" s="91"/>
      <c r="HT89" s="91"/>
      <c r="HU89" s="91"/>
      <c r="HV89" s="91"/>
      <c r="HW89" s="91"/>
      <c r="HX89" s="91"/>
      <c r="HY89" s="91"/>
      <c r="HZ89" s="91"/>
      <c r="IA89" s="91"/>
      <c r="IB89" s="91"/>
      <c r="IC89" s="91"/>
      <c r="ID89" s="91"/>
      <c r="IE89" s="91"/>
      <c r="IF89" s="91"/>
      <c r="IG89" s="91"/>
      <c r="IH89" s="91"/>
      <c r="II89" s="91"/>
      <c r="IJ89" s="91"/>
      <c r="IK89" s="91"/>
      <c r="IL89" s="91"/>
      <c r="IM89" s="91"/>
      <c r="IN89" s="91"/>
      <c r="IO89" s="91"/>
      <c r="IP89" s="91"/>
      <c r="IQ89" s="91"/>
      <c r="IR89" s="91"/>
      <c r="IS89" s="91"/>
      <c r="IT89" s="91"/>
      <c r="IU89" s="91"/>
      <c r="IV89" s="91"/>
    </row>
    <row r="90" s="92" customFormat="1" ht="20.1" customHeight="1" spans="1:256">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c r="CV90" s="91"/>
      <c r="CW90" s="91"/>
      <c r="CX90" s="91"/>
      <c r="CY90" s="91"/>
      <c r="CZ90" s="91"/>
      <c r="DA90" s="91"/>
      <c r="DB90" s="91"/>
      <c r="DC90" s="91"/>
      <c r="DD90" s="91"/>
      <c r="DE90" s="91"/>
      <c r="DF90" s="91"/>
      <c r="DG90" s="91"/>
      <c r="DH90" s="91"/>
      <c r="DI90" s="91"/>
      <c r="DJ90" s="91"/>
      <c r="DK90" s="91"/>
      <c r="DL90" s="91"/>
      <c r="DM90" s="91"/>
      <c r="DN90" s="91"/>
      <c r="DO90" s="91"/>
      <c r="DP90" s="91"/>
      <c r="DQ90" s="91"/>
      <c r="DR90" s="91"/>
      <c r="DS90" s="91"/>
      <c r="DT90" s="91"/>
      <c r="DU90" s="91"/>
      <c r="DV90" s="91"/>
      <c r="DW90" s="91"/>
      <c r="DX90" s="91"/>
      <c r="DY90" s="91"/>
      <c r="DZ90" s="91"/>
      <c r="EA90" s="91"/>
      <c r="EB90" s="91"/>
      <c r="EC90" s="91"/>
      <c r="ED90" s="91"/>
      <c r="EE90" s="91"/>
      <c r="EF90" s="91"/>
      <c r="EG90" s="91"/>
      <c r="EH90" s="91"/>
      <c r="EI90" s="91"/>
      <c r="EJ90" s="91"/>
      <c r="EK90" s="91"/>
      <c r="EL90" s="91"/>
      <c r="EM90" s="91"/>
      <c r="EN90" s="91"/>
      <c r="EO90" s="91"/>
      <c r="EP90" s="91"/>
      <c r="EQ90" s="91"/>
      <c r="ER90" s="91"/>
      <c r="ES90" s="91"/>
      <c r="ET90" s="91"/>
      <c r="EU90" s="91"/>
      <c r="EV90" s="91"/>
      <c r="EW90" s="91"/>
      <c r="EX90" s="91"/>
      <c r="EY90" s="91"/>
      <c r="EZ90" s="91"/>
      <c r="FA90" s="91"/>
      <c r="FB90" s="91"/>
      <c r="FC90" s="91"/>
      <c r="FD90" s="91"/>
      <c r="FE90" s="91"/>
      <c r="FF90" s="91"/>
      <c r="FG90" s="91"/>
      <c r="FH90" s="91"/>
      <c r="FI90" s="91"/>
      <c r="FJ90" s="91"/>
      <c r="FK90" s="91"/>
      <c r="FL90" s="91"/>
      <c r="FM90" s="91"/>
      <c r="FN90" s="91"/>
      <c r="FO90" s="91"/>
      <c r="FP90" s="91"/>
      <c r="FQ90" s="91"/>
      <c r="FR90" s="91"/>
      <c r="FS90" s="91"/>
      <c r="FT90" s="91"/>
      <c r="FU90" s="91"/>
      <c r="FV90" s="91"/>
      <c r="FW90" s="91"/>
      <c r="FX90" s="91"/>
      <c r="FY90" s="91"/>
      <c r="FZ90" s="91"/>
      <c r="GA90" s="91"/>
      <c r="GB90" s="91"/>
      <c r="GC90" s="91"/>
      <c r="GD90" s="91"/>
      <c r="GE90" s="91"/>
      <c r="GF90" s="91"/>
      <c r="GG90" s="91"/>
      <c r="GH90" s="91"/>
      <c r="GI90" s="91"/>
      <c r="GJ90" s="91"/>
      <c r="GK90" s="91"/>
      <c r="GL90" s="91"/>
      <c r="GM90" s="91"/>
      <c r="GN90" s="91"/>
      <c r="GO90" s="91"/>
      <c r="GP90" s="91"/>
      <c r="GQ90" s="91"/>
      <c r="GR90" s="91"/>
      <c r="GS90" s="91"/>
      <c r="GT90" s="91"/>
      <c r="GU90" s="91"/>
      <c r="GV90" s="91"/>
      <c r="GW90" s="91"/>
      <c r="GX90" s="91"/>
      <c r="GY90" s="91"/>
      <c r="GZ90" s="91"/>
      <c r="HA90" s="91"/>
      <c r="HB90" s="91"/>
      <c r="HC90" s="91"/>
      <c r="HD90" s="91"/>
      <c r="HE90" s="91"/>
      <c r="HF90" s="91"/>
      <c r="HG90" s="91"/>
      <c r="HH90" s="91"/>
      <c r="HI90" s="91"/>
      <c r="HJ90" s="91"/>
      <c r="HK90" s="91"/>
      <c r="HL90" s="91"/>
      <c r="HM90" s="91"/>
      <c r="HN90" s="91"/>
      <c r="HO90" s="91"/>
      <c r="HP90" s="91"/>
      <c r="HQ90" s="91"/>
      <c r="HR90" s="91"/>
      <c r="HS90" s="91"/>
      <c r="HT90" s="91"/>
      <c r="HU90" s="91"/>
      <c r="HV90" s="91"/>
      <c r="HW90" s="91"/>
      <c r="HX90" s="91"/>
      <c r="HY90" s="91"/>
      <c r="HZ90" s="91"/>
      <c r="IA90" s="91"/>
      <c r="IB90" s="91"/>
      <c r="IC90" s="91"/>
      <c r="ID90" s="91"/>
      <c r="IE90" s="91"/>
      <c r="IF90" s="91"/>
      <c r="IG90" s="91"/>
      <c r="IH90" s="91"/>
      <c r="II90" s="91"/>
      <c r="IJ90" s="91"/>
      <c r="IK90" s="91"/>
      <c r="IL90" s="91"/>
      <c r="IM90" s="91"/>
      <c r="IN90" s="91"/>
      <c r="IO90" s="91"/>
      <c r="IP90" s="91"/>
      <c r="IQ90" s="91"/>
      <c r="IR90" s="91"/>
      <c r="IS90" s="91"/>
      <c r="IT90" s="91"/>
      <c r="IU90" s="91"/>
      <c r="IV90" s="91"/>
    </row>
    <row r="91" s="92" customFormat="1" ht="20.1" customHeight="1" spans="1:256">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1"/>
      <c r="CL91" s="91"/>
      <c r="CM91" s="91"/>
      <c r="CN91" s="91"/>
      <c r="CO91" s="91"/>
      <c r="CP91" s="91"/>
      <c r="CQ91" s="91"/>
      <c r="CR91" s="91"/>
      <c r="CS91" s="91"/>
      <c r="CT91" s="91"/>
      <c r="CU91" s="91"/>
      <c r="CV91" s="91"/>
      <c r="CW91" s="91"/>
      <c r="CX91" s="91"/>
      <c r="CY91" s="91"/>
      <c r="CZ91" s="91"/>
      <c r="DA91" s="91"/>
      <c r="DB91" s="91"/>
      <c r="DC91" s="91"/>
      <c r="DD91" s="91"/>
      <c r="DE91" s="91"/>
      <c r="DF91" s="91"/>
      <c r="DG91" s="91"/>
      <c r="DH91" s="91"/>
      <c r="DI91" s="91"/>
      <c r="DJ91" s="91"/>
      <c r="DK91" s="91"/>
      <c r="DL91" s="91"/>
      <c r="DM91" s="91"/>
      <c r="DN91" s="91"/>
      <c r="DO91" s="91"/>
      <c r="DP91" s="91"/>
      <c r="DQ91" s="91"/>
      <c r="DR91" s="91"/>
      <c r="DS91" s="91"/>
      <c r="DT91" s="91"/>
      <c r="DU91" s="91"/>
      <c r="DV91" s="91"/>
      <c r="DW91" s="91"/>
      <c r="DX91" s="91"/>
      <c r="DY91" s="91"/>
      <c r="DZ91" s="91"/>
      <c r="EA91" s="91"/>
      <c r="EB91" s="91"/>
      <c r="EC91" s="91"/>
      <c r="ED91" s="91"/>
      <c r="EE91" s="91"/>
      <c r="EF91" s="91"/>
      <c r="EG91" s="91"/>
      <c r="EH91" s="91"/>
      <c r="EI91" s="91"/>
      <c r="EJ91" s="91"/>
      <c r="EK91" s="91"/>
      <c r="EL91" s="91"/>
      <c r="EM91" s="91"/>
      <c r="EN91" s="91"/>
      <c r="EO91" s="91"/>
      <c r="EP91" s="91"/>
      <c r="EQ91" s="91"/>
      <c r="ER91" s="91"/>
      <c r="ES91" s="91"/>
      <c r="ET91" s="91"/>
      <c r="EU91" s="91"/>
      <c r="EV91" s="91"/>
      <c r="EW91" s="91"/>
      <c r="EX91" s="91"/>
      <c r="EY91" s="91"/>
      <c r="EZ91" s="91"/>
      <c r="FA91" s="91"/>
      <c r="FB91" s="91"/>
      <c r="FC91" s="91"/>
      <c r="FD91" s="91"/>
      <c r="FE91" s="91"/>
      <c r="FF91" s="91"/>
      <c r="FG91" s="91"/>
      <c r="FH91" s="91"/>
      <c r="FI91" s="91"/>
      <c r="FJ91" s="91"/>
      <c r="FK91" s="91"/>
      <c r="FL91" s="91"/>
      <c r="FM91" s="91"/>
      <c r="FN91" s="91"/>
      <c r="FO91" s="91"/>
      <c r="FP91" s="91"/>
      <c r="FQ91" s="91"/>
      <c r="FR91" s="91"/>
      <c r="FS91" s="91"/>
      <c r="FT91" s="91"/>
      <c r="FU91" s="91"/>
      <c r="FV91" s="91"/>
      <c r="FW91" s="91"/>
      <c r="FX91" s="91"/>
      <c r="FY91" s="91"/>
      <c r="FZ91" s="91"/>
      <c r="GA91" s="91"/>
      <c r="GB91" s="91"/>
      <c r="GC91" s="91"/>
      <c r="GD91" s="91"/>
      <c r="GE91" s="91"/>
      <c r="GF91" s="91"/>
      <c r="GG91" s="91"/>
      <c r="GH91" s="91"/>
      <c r="GI91" s="91"/>
      <c r="GJ91" s="91"/>
      <c r="GK91" s="91"/>
      <c r="GL91" s="91"/>
      <c r="GM91" s="91"/>
      <c r="GN91" s="91"/>
      <c r="GO91" s="91"/>
      <c r="GP91" s="91"/>
      <c r="GQ91" s="91"/>
      <c r="GR91" s="91"/>
      <c r="GS91" s="91"/>
      <c r="GT91" s="91"/>
      <c r="GU91" s="91"/>
      <c r="GV91" s="91"/>
      <c r="GW91" s="91"/>
      <c r="GX91" s="91"/>
      <c r="GY91" s="91"/>
      <c r="GZ91" s="91"/>
      <c r="HA91" s="91"/>
      <c r="HB91" s="91"/>
      <c r="HC91" s="91"/>
      <c r="HD91" s="91"/>
      <c r="HE91" s="91"/>
      <c r="HF91" s="91"/>
      <c r="HG91" s="91"/>
      <c r="HH91" s="91"/>
      <c r="HI91" s="91"/>
      <c r="HJ91" s="91"/>
      <c r="HK91" s="91"/>
      <c r="HL91" s="91"/>
      <c r="HM91" s="91"/>
      <c r="HN91" s="91"/>
      <c r="HO91" s="91"/>
      <c r="HP91" s="91"/>
      <c r="HQ91" s="91"/>
      <c r="HR91" s="91"/>
      <c r="HS91" s="91"/>
      <c r="HT91" s="91"/>
      <c r="HU91" s="91"/>
      <c r="HV91" s="91"/>
      <c r="HW91" s="91"/>
      <c r="HX91" s="91"/>
      <c r="HY91" s="91"/>
      <c r="HZ91" s="91"/>
      <c r="IA91" s="91"/>
      <c r="IB91" s="91"/>
      <c r="IC91" s="91"/>
      <c r="ID91" s="91"/>
      <c r="IE91" s="91"/>
      <c r="IF91" s="91"/>
      <c r="IG91" s="91"/>
      <c r="IH91" s="91"/>
      <c r="II91" s="91"/>
      <c r="IJ91" s="91"/>
      <c r="IK91" s="91"/>
      <c r="IL91" s="91"/>
      <c r="IM91" s="91"/>
      <c r="IN91" s="91"/>
      <c r="IO91" s="91"/>
      <c r="IP91" s="91"/>
      <c r="IQ91" s="91"/>
      <c r="IR91" s="91"/>
      <c r="IS91" s="91"/>
      <c r="IT91" s="91"/>
      <c r="IU91" s="91"/>
      <c r="IV91" s="91"/>
    </row>
    <row r="92" s="92" customFormat="1" ht="20.1" customHeight="1" spans="1:256">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91"/>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c r="CV92" s="91"/>
      <c r="CW92" s="91"/>
      <c r="CX92" s="91"/>
      <c r="CY92" s="91"/>
      <c r="CZ92" s="91"/>
      <c r="DA92" s="91"/>
      <c r="DB92" s="91"/>
      <c r="DC92" s="91"/>
      <c r="DD92" s="91"/>
      <c r="DE92" s="91"/>
      <c r="DF92" s="91"/>
      <c r="DG92" s="91"/>
      <c r="DH92" s="91"/>
      <c r="DI92" s="91"/>
      <c r="DJ92" s="91"/>
      <c r="DK92" s="91"/>
      <c r="DL92" s="91"/>
      <c r="DM92" s="91"/>
      <c r="DN92" s="91"/>
      <c r="DO92" s="91"/>
      <c r="DP92" s="91"/>
      <c r="DQ92" s="91"/>
      <c r="DR92" s="91"/>
      <c r="DS92" s="91"/>
      <c r="DT92" s="91"/>
      <c r="DU92" s="91"/>
      <c r="DV92" s="91"/>
      <c r="DW92" s="91"/>
      <c r="DX92" s="91"/>
      <c r="DY92" s="91"/>
      <c r="DZ92" s="91"/>
      <c r="EA92" s="91"/>
      <c r="EB92" s="91"/>
      <c r="EC92" s="91"/>
      <c r="ED92" s="91"/>
      <c r="EE92" s="91"/>
      <c r="EF92" s="91"/>
      <c r="EG92" s="91"/>
      <c r="EH92" s="91"/>
      <c r="EI92" s="91"/>
      <c r="EJ92" s="91"/>
      <c r="EK92" s="91"/>
      <c r="EL92" s="91"/>
      <c r="EM92" s="91"/>
      <c r="EN92" s="91"/>
      <c r="EO92" s="91"/>
      <c r="EP92" s="91"/>
      <c r="EQ92" s="91"/>
      <c r="ER92" s="91"/>
      <c r="ES92" s="91"/>
      <c r="ET92" s="91"/>
      <c r="EU92" s="91"/>
      <c r="EV92" s="91"/>
      <c r="EW92" s="91"/>
      <c r="EX92" s="91"/>
      <c r="EY92" s="91"/>
      <c r="EZ92" s="91"/>
      <c r="FA92" s="91"/>
      <c r="FB92" s="91"/>
      <c r="FC92" s="91"/>
      <c r="FD92" s="91"/>
      <c r="FE92" s="91"/>
      <c r="FF92" s="91"/>
      <c r="FG92" s="91"/>
      <c r="FH92" s="91"/>
      <c r="FI92" s="91"/>
      <c r="FJ92" s="91"/>
      <c r="FK92" s="91"/>
      <c r="FL92" s="91"/>
      <c r="FM92" s="91"/>
      <c r="FN92" s="91"/>
      <c r="FO92" s="91"/>
      <c r="FP92" s="91"/>
      <c r="FQ92" s="91"/>
      <c r="FR92" s="91"/>
      <c r="FS92" s="91"/>
      <c r="FT92" s="91"/>
      <c r="FU92" s="91"/>
      <c r="FV92" s="91"/>
      <c r="FW92" s="91"/>
      <c r="FX92" s="91"/>
      <c r="FY92" s="91"/>
      <c r="FZ92" s="91"/>
      <c r="GA92" s="91"/>
      <c r="GB92" s="91"/>
      <c r="GC92" s="91"/>
      <c r="GD92" s="91"/>
      <c r="GE92" s="91"/>
      <c r="GF92" s="91"/>
      <c r="GG92" s="91"/>
      <c r="GH92" s="91"/>
      <c r="GI92" s="91"/>
      <c r="GJ92" s="91"/>
      <c r="GK92" s="91"/>
      <c r="GL92" s="91"/>
      <c r="GM92" s="91"/>
      <c r="GN92" s="91"/>
      <c r="GO92" s="91"/>
      <c r="GP92" s="91"/>
      <c r="GQ92" s="91"/>
      <c r="GR92" s="91"/>
      <c r="GS92" s="91"/>
      <c r="GT92" s="91"/>
      <c r="GU92" s="91"/>
      <c r="GV92" s="91"/>
      <c r="GW92" s="91"/>
      <c r="GX92" s="91"/>
      <c r="GY92" s="91"/>
      <c r="GZ92" s="91"/>
      <c r="HA92" s="91"/>
      <c r="HB92" s="91"/>
      <c r="HC92" s="91"/>
      <c r="HD92" s="91"/>
      <c r="HE92" s="91"/>
      <c r="HF92" s="91"/>
      <c r="HG92" s="91"/>
      <c r="HH92" s="91"/>
      <c r="HI92" s="91"/>
      <c r="HJ92" s="91"/>
      <c r="HK92" s="91"/>
      <c r="HL92" s="91"/>
      <c r="HM92" s="91"/>
      <c r="HN92" s="91"/>
      <c r="HO92" s="91"/>
      <c r="HP92" s="91"/>
      <c r="HQ92" s="91"/>
      <c r="HR92" s="91"/>
      <c r="HS92" s="91"/>
      <c r="HT92" s="91"/>
      <c r="HU92" s="91"/>
      <c r="HV92" s="91"/>
      <c r="HW92" s="91"/>
      <c r="HX92" s="91"/>
      <c r="HY92" s="91"/>
      <c r="HZ92" s="91"/>
      <c r="IA92" s="91"/>
      <c r="IB92" s="91"/>
      <c r="IC92" s="91"/>
      <c r="ID92" s="91"/>
      <c r="IE92" s="91"/>
      <c r="IF92" s="91"/>
      <c r="IG92" s="91"/>
      <c r="IH92" s="91"/>
      <c r="II92" s="91"/>
      <c r="IJ92" s="91"/>
      <c r="IK92" s="91"/>
      <c r="IL92" s="91"/>
      <c r="IM92" s="91"/>
      <c r="IN92" s="91"/>
      <c r="IO92" s="91"/>
      <c r="IP92" s="91"/>
      <c r="IQ92" s="91"/>
      <c r="IR92" s="91"/>
      <c r="IS92" s="91"/>
      <c r="IT92" s="91"/>
      <c r="IU92" s="91"/>
      <c r="IV92" s="91"/>
    </row>
    <row r="93" s="92" customFormat="1" ht="20.1" customHeight="1" spans="1:256">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c r="CV93" s="91"/>
      <c r="CW93" s="91"/>
      <c r="CX93" s="91"/>
      <c r="CY93" s="91"/>
      <c r="CZ93" s="91"/>
      <c r="DA93" s="91"/>
      <c r="DB93" s="91"/>
      <c r="DC93" s="91"/>
      <c r="DD93" s="91"/>
      <c r="DE93" s="91"/>
      <c r="DF93" s="91"/>
      <c r="DG93" s="91"/>
      <c r="DH93" s="91"/>
      <c r="DI93" s="91"/>
      <c r="DJ93" s="91"/>
      <c r="DK93" s="91"/>
      <c r="DL93" s="91"/>
      <c r="DM93" s="91"/>
      <c r="DN93" s="91"/>
      <c r="DO93" s="91"/>
      <c r="DP93" s="91"/>
      <c r="DQ93" s="91"/>
      <c r="DR93" s="91"/>
      <c r="DS93" s="91"/>
      <c r="DT93" s="91"/>
      <c r="DU93" s="91"/>
      <c r="DV93" s="91"/>
      <c r="DW93" s="91"/>
      <c r="DX93" s="91"/>
      <c r="DY93" s="91"/>
      <c r="DZ93" s="91"/>
      <c r="EA93" s="91"/>
      <c r="EB93" s="91"/>
      <c r="EC93" s="91"/>
      <c r="ED93" s="91"/>
      <c r="EE93" s="91"/>
      <c r="EF93" s="91"/>
      <c r="EG93" s="91"/>
      <c r="EH93" s="91"/>
      <c r="EI93" s="91"/>
      <c r="EJ93" s="91"/>
      <c r="EK93" s="91"/>
      <c r="EL93" s="91"/>
      <c r="EM93" s="91"/>
      <c r="EN93" s="91"/>
      <c r="EO93" s="91"/>
      <c r="EP93" s="91"/>
      <c r="EQ93" s="91"/>
      <c r="ER93" s="91"/>
      <c r="ES93" s="91"/>
      <c r="ET93" s="91"/>
      <c r="EU93" s="91"/>
      <c r="EV93" s="91"/>
      <c r="EW93" s="91"/>
      <c r="EX93" s="91"/>
      <c r="EY93" s="91"/>
      <c r="EZ93" s="91"/>
      <c r="FA93" s="91"/>
      <c r="FB93" s="91"/>
      <c r="FC93" s="91"/>
      <c r="FD93" s="91"/>
      <c r="FE93" s="91"/>
      <c r="FF93" s="91"/>
      <c r="FG93" s="91"/>
      <c r="FH93" s="91"/>
      <c r="FI93" s="91"/>
      <c r="FJ93" s="91"/>
      <c r="FK93" s="91"/>
      <c r="FL93" s="91"/>
      <c r="FM93" s="91"/>
      <c r="FN93" s="91"/>
      <c r="FO93" s="91"/>
      <c r="FP93" s="91"/>
      <c r="FQ93" s="91"/>
      <c r="FR93" s="91"/>
      <c r="FS93" s="91"/>
      <c r="FT93" s="91"/>
      <c r="FU93" s="91"/>
      <c r="FV93" s="91"/>
      <c r="FW93" s="91"/>
      <c r="FX93" s="91"/>
      <c r="FY93" s="91"/>
      <c r="FZ93" s="91"/>
      <c r="GA93" s="91"/>
      <c r="GB93" s="91"/>
      <c r="GC93" s="91"/>
      <c r="GD93" s="91"/>
      <c r="GE93" s="91"/>
      <c r="GF93" s="91"/>
      <c r="GG93" s="91"/>
      <c r="GH93" s="91"/>
      <c r="GI93" s="91"/>
      <c r="GJ93" s="91"/>
      <c r="GK93" s="91"/>
      <c r="GL93" s="91"/>
      <c r="GM93" s="91"/>
      <c r="GN93" s="91"/>
      <c r="GO93" s="91"/>
      <c r="GP93" s="91"/>
      <c r="GQ93" s="91"/>
      <c r="GR93" s="91"/>
      <c r="GS93" s="91"/>
      <c r="GT93" s="91"/>
      <c r="GU93" s="91"/>
      <c r="GV93" s="91"/>
      <c r="GW93" s="91"/>
      <c r="GX93" s="91"/>
      <c r="GY93" s="91"/>
      <c r="GZ93" s="91"/>
      <c r="HA93" s="91"/>
      <c r="HB93" s="91"/>
      <c r="HC93" s="91"/>
      <c r="HD93" s="91"/>
      <c r="HE93" s="91"/>
      <c r="HF93" s="91"/>
      <c r="HG93" s="91"/>
      <c r="HH93" s="91"/>
      <c r="HI93" s="91"/>
      <c r="HJ93" s="91"/>
      <c r="HK93" s="91"/>
      <c r="HL93" s="91"/>
      <c r="HM93" s="91"/>
      <c r="HN93" s="91"/>
      <c r="HO93" s="91"/>
      <c r="HP93" s="91"/>
      <c r="HQ93" s="91"/>
      <c r="HR93" s="91"/>
      <c r="HS93" s="91"/>
      <c r="HT93" s="91"/>
      <c r="HU93" s="91"/>
      <c r="HV93" s="91"/>
      <c r="HW93" s="91"/>
      <c r="HX93" s="91"/>
      <c r="HY93" s="91"/>
      <c r="HZ93" s="91"/>
      <c r="IA93" s="91"/>
      <c r="IB93" s="91"/>
      <c r="IC93" s="91"/>
      <c r="ID93" s="91"/>
      <c r="IE93" s="91"/>
      <c r="IF93" s="91"/>
      <c r="IG93" s="91"/>
      <c r="IH93" s="91"/>
      <c r="II93" s="91"/>
      <c r="IJ93" s="91"/>
      <c r="IK93" s="91"/>
      <c r="IL93" s="91"/>
      <c r="IM93" s="91"/>
      <c r="IN93" s="91"/>
      <c r="IO93" s="91"/>
      <c r="IP93" s="91"/>
      <c r="IQ93" s="91"/>
      <c r="IR93" s="91"/>
      <c r="IS93" s="91"/>
      <c r="IT93" s="91"/>
      <c r="IU93" s="91"/>
      <c r="IV93" s="91"/>
    </row>
    <row r="94" s="92" customFormat="1" ht="20.1" customHeight="1" spans="1:256">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91"/>
      <c r="BU94" s="91"/>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c r="CV94" s="91"/>
      <c r="CW94" s="91"/>
      <c r="CX94" s="91"/>
      <c r="CY94" s="91"/>
      <c r="CZ94" s="91"/>
      <c r="DA94" s="91"/>
      <c r="DB94" s="91"/>
      <c r="DC94" s="91"/>
      <c r="DD94" s="91"/>
      <c r="DE94" s="91"/>
      <c r="DF94" s="91"/>
      <c r="DG94" s="91"/>
      <c r="DH94" s="91"/>
      <c r="DI94" s="91"/>
      <c r="DJ94" s="91"/>
      <c r="DK94" s="91"/>
      <c r="DL94" s="91"/>
      <c r="DM94" s="91"/>
      <c r="DN94" s="91"/>
      <c r="DO94" s="91"/>
      <c r="DP94" s="91"/>
      <c r="DQ94" s="91"/>
      <c r="DR94" s="91"/>
      <c r="DS94" s="91"/>
      <c r="DT94" s="91"/>
      <c r="DU94" s="91"/>
      <c r="DV94" s="91"/>
      <c r="DW94" s="91"/>
      <c r="DX94" s="91"/>
      <c r="DY94" s="91"/>
      <c r="DZ94" s="91"/>
      <c r="EA94" s="91"/>
      <c r="EB94" s="91"/>
      <c r="EC94" s="91"/>
      <c r="ED94" s="91"/>
      <c r="EE94" s="91"/>
      <c r="EF94" s="91"/>
      <c r="EG94" s="91"/>
      <c r="EH94" s="91"/>
      <c r="EI94" s="91"/>
      <c r="EJ94" s="91"/>
      <c r="EK94" s="91"/>
      <c r="EL94" s="91"/>
      <c r="EM94" s="91"/>
      <c r="EN94" s="91"/>
      <c r="EO94" s="91"/>
      <c r="EP94" s="91"/>
      <c r="EQ94" s="91"/>
      <c r="ER94" s="91"/>
      <c r="ES94" s="91"/>
      <c r="ET94" s="91"/>
      <c r="EU94" s="91"/>
      <c r="EV94" s="91"/>
      <c r="EW94" s="91"/>
      <c r="EX94" s="91"/>
      <c r="EY94" s="91"/>
      <c r="EZ94" s="91"/>
      <c r="FA94" s="91"/>
      <c r="FB94" s="91"/>
      <c r="FC94" s="91"/>
      <c r="FD94" s="91"/>
      <c r="FE94" s="91"/>
      <c r="FF94" s="91"/>
      <c r="FG94" s="91"/>
      <c r="FH94" s="91"/>
      <c r="FI94" s="91"/>
      <c r="FJ94" s="91"/>
      <c r="FK94" s="91"/>
      <c r="FL94" s="91"/>
      <c r="FM94" s="91"/>
      <c r="FN94" s="91"/>
      <c r="FO94" s="91"/>
      <c r="FP94" s="91"/>
      <c r="FQ94" s="91"/>
      <c r="FR94" s="91"/>
      <c r="FS94" s="91"/>
      <c r="FT94" s="91"/>
      <c r="FU94" s="91"/>
      <c r="FV94" s="91"/>
      <c r="FW94" s="91"/>
      <c r="FX94" s="91"/>
      <c r="FY94" s="91"/>
      <c r="FZ94" s="91"/>
      <c r="GA94" s="91"/>
      <c r="GB94" s="91"/>
      <c r="GC94" s="91"/>
      <c r="GD94" s="91"/>
      <c r="GE94" s="91"/>
      <c r="GF94" s="91"/>
      <c r="GG94" s="91"/>
      <c r="GH94" s="91"/>
      <c r="GI94" s="91"/>
      <c r="GJ94" s="91"/>
      <c r="GK94" s="91"/>
      <c r="GL94" s="91"/>
      <c r="GM94" s="91"/>
      <c r="GN94" s="91"/>
      <c r="GO94" s="91"/>
      <c r="GP94" s="91"/>
      <c r="GQ94" s="91"/>
      <c r="GR94" s="91"/>
      <c r="GS94" s="91"/>
      <c r="GT94" s="91"/>
      <c r="GU94" s="91"/>
      <c r="GV94" s="91"/>
      <c r="GW94" s="91"/>
      <c r="GX94" s="91"/>
      <c r="GY94" s="91"/>
      <c r="GZ94" s="91"/>
      <c r="HA94" s="91"/>
      <c r="HB94" s="91"/>
      <c r="HC94" s="91"/>
      <c r="HD94" s="91"/>
      <c r="HE94" s="91"/>
      <c r="HF94" s="91"/>
      <c r="HG94" s="91"/>
      <c r="HH94" s="91"/>
      <c r="HI94" s="91"/>
      <c r="HJ94" s="91"/>
      <c r="HK94" s="91"/>
      <c r="HL94" s="91"/>
      <c r="HM94" s="91"/>
      <c r="HN94" s="91"/>
      <c r="HO94" s="91"/>
      <c r="HP94" s="91"/>
      <c r="HQ94" s="91"/>
      <c r="HR94" s="91"/>
      <c r="HS94" s="91"/>
      <c r="HT94" s="91"/>
      <c r="HU94" s="91"/>
      <c r="HV94" s="91"/>
      <c r="HW94" s="91"/>
      <c r="HX94" s="91"/>
      <c r="HY94" s="91"/>
      <c r="HZ94" s="91"/>
      <c r="IA94" s="91"/>
      <c r="IB94" s="91"/>
      <c r="IC94" s="91"/>
      <c r="ID94" s="91"/>
      <c r="IE94" s="91"/>
      <c r="IF94" s="91"/>
      <c r="IG94" s="91"/>
      <c r="IH94" s="91"/>
      <c r="II94" s="91"/>
      <c r="IJ94" s="91"/>
      <c r="IK94" s="91"/>
      <c r="IL94" s="91"/>
      <c r="IM94" s="91"/>
      <c r="IN94" s="91"/>
      <c r="IO94" s="91"/>
      <c r="IP94" s="91"/>
      <c r="IQ94" s="91"/>
      <c r="IR94" s="91"/>
      <c r="IS94" s="91"/>
      <c r="IT94" s="91"/>
      <c r="IU94" s="91"/>
      <c r="IV94" s="91"/>
    </row>
    <row r="95" s="92" customFormat="1" ht="20.1" customHeight="1" spans="1:256">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1"/>
      <c r="BR95" s="91"/>
      <c r="BS95" s="91"/>
      <c r="BT95" s="91"/>
      <c r="BU95" s="91"/>
      <c r="BV95" s="91"/>
      <c r="BW95" s="91"/>
      <c r="BX95" s="91"/>
      <c r="BY95" s="91"/>
      <c r="BZ95" s="91"/>
      <c r="CA95" s="91"/>
      <c r="CB95" s="91"/>
      <c r="CC95" s="91"/>
      <c r="CD95" s="91"/>
      <c r="CE95" s="91"/>
      <c r="CF95" s="91"/>
      <c r="CG95" s="91"/>
      <c r="CH95" s="91"/>
      <c r="CI95" s="91"/>
      <c r="CJ95" s="91"/>
      <c r="CK95" s="91"/>
      <c r="CL95" s="91"/>
      <c r="CM95" s="91"/>
      <c r="CN95" s="91"/>
      <c r="CO95" s="91"/>
      <c r="CP95" s="91"/>
      <c r="CQ95" s="91"/>
      <c r="CR95" s="91"/>
      <c r="CS95" s="91"/>
      <c r="CT95" s="91"/>
      <c r="CU95" s="91"/>
      <c r="CV95" s="91"/>
      <c r="CW95" s="91"/>
      <c r="CX95" s="91"/>
      <c r="CY95" s="91"/>
      <c r="CZ95" s="91"/>
      <c r="DA95" s="91"/>
      <c r="DB95" s="91"/>
      <c r="DC95" s="91"/>
      <c r="DD95" s="91"/>
      <c r="DE95" s="91"/>
      <c r="DF95" s="91"/>
      <c r="DG95" s="91"/>
      <c r="DH95" s="91"/>
      <c r="DI95" s="91"/>
      <c r="DJ95" s="91"/>
      <c r="DK95" s="91"/>
      <c r="DL95" s="91"/>
      <c r="DM95" s="91"/>
      <c r="DN95" s="91"/>
      <c r="DO95" s="91"/>
      <c r="DP95" s="91"/>
      <c r="DQ95" s="91"/>
      <c r="DR95" s="91"/>
      <c r="DS95" s="91"/>
      <c r="DT95" s="91"/>
      <c r="DU95" s="91"/>
      <c r="DV95" s="91"/>
      <c r="DW95" s="91"/>
      <c r="DX95" s="91"/>
      <c r="DY95" s="91"/>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c r="FS95" s="91"/>
      <c r="FT95" s="91"/>
      <c r="FU95" s="91"/>
      <c r="FV95" s="91"/>
      <c r="FW95" s="91"/>
      <c r="FX95" s="91"/>
      <c r="FY95" s="91"/>
      <c r="FZ95" s="91"/>
      <c r="GA95" s="91"/>
      <c r="GB95" s="91"/>
      <c r="GC95" s="91"/>
      <c r="GD95" s="91"/>
      <c r="GE95" s="91"/>
      <c r="GF95" s="91"/>
      <c r="GG95" s="91"/>
      <c r="GH95" s="91"/>
      <c r="GI95" s="91"/>
      <c r="GJ95" s="91"/>
      <c r="GK95" s="91"/>
      <c r="GL95" s="91"/>
      <c r="GM95" s="91"/>
      <c r="GN95" s="91"/>
      <c r="GO95" s="91"/>
      <c r="GP95" s="91"/>
      <c r="GQ95" s="91"/>
      <c r="GR95" s="91"/>
      <c r="GS95" s="91"/>
      <c r="GT95" s="91"/>
      <c r="GU95" s="91"/>
      <c r="GV95" s="91"/>
      <c r="GW95" s="91"/>
      <c r="GX95" s="91"/>
      <c r="GY95" s="91"/>
      <c r="GZ95" s="91"/>
      <c r="HA95" s="91"/>
      <c r="HB95" s="91"/>
      <c r="HC95" s="91"/>
      <c r="HD95" s="91"/>
      <c r="HE95" s="91"/>
      <c r="HF95" s="91"/>
      <c r="HG95" s="91"/>
      <c r="HH95" s="91"/>
      <c r="HI95" s="91"/>
      <c r="HJ95" s="91"/>
      <c r="HK95" s="91"/>
      <c r="HL95" s="91"/>
      <c r="HM95" s="91"/>
      <c r="HN95" s="91"/>
      <c r="HO95" s="91"/>
      <c r="HP95" s="91"/>
      <c r="HQ95" s="91"/>
      <c r="HR95" s="91"/>
      <c r="HS95" s="91"/>
      <c r="HT95" s="91"/>
      <c r="HU95" s="91"/>
      <c r="HV95" s="91"/>
      <c r="HW95" s="91"/>
      <c r="HX95" s="91"/>
      <c r="HY95" s="91"/>
      <c r="HZ95" s="91"/>
      <c r="IA95" s="91"/>
      <c r="IB95" s="91"/>
      <c r="IC95" s="91"/>
      <c r="ID95" s="91"/>
      <c r="IE95" s="91"/>
      <c r="IF95" s="91"/>
      <c r="IG95" s="91"/>
      <c r="IH95" s="91"/>
      <c r="II95" s="91"/>
      <c r="IJ95" s="91"/>
      <c r="IK95" s="91"/>
      <c r="IL95" s="91"/>
      <c r="IM95" s="91"/>
      <c r="IN95" s="91"/>
      <c r="IO95" s="91"/>
      <c r="IP95" s="91"/>
      <c r="IQ95" s="91"/>
      <c r="IR95" s="91"/>
      <c r="IS95" s="91"/>
      <c r="IT95" s="91"/>
      <c r="IU95" s="91"/>
      <c r="IV95" s="91"/>
    </row>
    <row r="96" s="92" customFormat="1" ht="20.1" customHeight="1" spans="1:256">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91"/>
      <c r="BU96" s="91"/>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c r="CV96" s="91"/>
      <c r="CW96" s="91"/>
      <c r="CX96" s="91"/>
      <c r="CY96" s="91"/>
      <c r="CZ96" s="91"/>
      <c r="DA96" s="91"/>
      <c r="DB96" s="91"/>
      <c r="DC96" s="91"/>
      <c r="DD96" s="91"/>
      <c r="DE96" s="91"/>
      <c r="DF96" s="91"/>
      <c r="DG96" s="91"/>
      <c r="DH96" s="91"/>
      <c r="DI96" s="91"/>
      <c r="DJ96" s="91"/>
      <c r="DK96" s="91"/>
      <c r="DL96" s="91"/>
      <c r="DM96" s="91"/>
      <c r="DN96" s="91"/>
      <c r="DO96" s="91"/>
      <c r="DP96" s="91"/>
      <c r="DQ96" s="91"/>
      <c r="DR96" s="91"/>
      <c r="DS96" s="91"/>
      <c r="DT96" s="91"/>
      <c r="DU96" s="91"/>
      <c r="DV96" s="91"/>
      <c r="DW96" s="91"/>
      <c r="DX96" s="91"/>
      <c r="DY96" s="91"/>
      <c r="DZ96" s="91"/>
      <c r="EA96" s="91"/>
      <c r="EB96" s="91"/>
      <c r="EC96" s="91"/>
      <c r="ED96" s="91"/>
      <c r="EE96" s="91"/>
      <c r="EF96" s="91"/>
      <c r="EG96" s="91"/>
      <c r="EH96" s="91"/>
      <c r="EI96" s="91"/>
      <c r="EJ96" s="91"/>
      <c r="EK96" s="91"/>
      <c r="EL96" s="91"/>
      <c r="EM96" s="91"/>
      <c r="EN96" s="91"/>
      <c r="EO96" s="91"/>
      <c r="EP96" s="91"/>
      <c r="EQ96" s="91"/>
      <c r="ER96" s="91"/>
      <c r="ES96" s="91"/>
      <c r="ET96" s="91"/>
      <c r="EU96" s="91"/>
      <c r="EV96" s="91"/>
      <c r="EW96" s="91"/>
      <c r="EX96" s="91"/>
      <c r="EY96" s="91"/>
      <c r="EZ96" s="91"/>
      <c r="FA96" s="91"/>
      <c r="FB96" s="91"/>
      <c r="FC96" s="91"/>
      <c r="FD96" s="91"/>
      <c r="FE96" s="91"/>
      <c r="FF96" s="91"/>
      <c r="FG96" s="91"/>
      <c r="FH96" s="91"/>
      <c r="FI96" s="91"/>
      <c r="FJ96" s="91"/>
      <c r="FK96" s="91"/>
      <c r="FL96" s="91"/>
      <c r="FM96" s="91"/>
      <c r="FN96" s="91"/>
      <c r="FO96" s="91"/>
      <c r="FP96" s="91"/>
      <c r="FQ96" s="91"/>
      <c r="FR96" s="91"/>
      <c r="FS96" s="91"/>
      <c r="FT96" s="91"/>
      <c r="FU96" s="91"/>
      <c r="FV96" s="91"/>
      <c r="FW96" s="91"/>
      <c r="FX96" s="91"/>
      <c r="FY96" s="91"/>
      <c r="FZ96" s="91"/>
      <c r="GA96" s="91"/>
      <c r="GB96" s="91"/>
      <c r="GC96" s="91"/>
      <c r="GD96" s="91"/>
      <c r="GE96" s="91"/>
      <c r="GF96" s="91"/>
      <c r="GG96" s="91"/>
      <c r="GH96" s="91"/>
      <c r="GI96" s="91"/>
      <c r="GJ96" s="91"/>
      <c r="GK96" s="91"/>
      <c r="GL96" s="91"/>
      <c r="GM96" s="91"/>
      <c r="GN96" s="91"/>
      <c r="GO96" s="91"/>
      <c r="GP96" s="91"/>
      <c r="GQ96" s="91"/>
      <c r="GR96" s="91"/>
      <c r="GS96" s="91"/>
      <c r="GT96" s="91"/>
      <c r="GU96" s="91"/>
      <c r="GV96" s="91"/>
      <c r="GW96" s="91"/>
      <c r="GX96" s="91"/>
      <c r="GY96" s="91"/>
      <c r="GZ96" s="91"/>
      <c r="HA96" s="91"/>
      <c r="HB96" s="91"/>
      <c r="HC96" s="91"/>
      <c r="HD96" s="91"/>
      <c r="HE96" s="91"/>
      <c r="HF96" s="91"/>
      <c r="HG96" s="91"/>
      <c r="HH96" s="91"/>
      <c r="HI96" s="91"/>
      <c r="HJ96" s="91"/>
      <c r="HK96" s="91"/>
      <c r="HL96" s="91"/>
      <c r="HM96" s="91"/>
      <c r="HN96" s="91"/>
      <c r="HO96" s="91"/>
      <c r="HP96" s="91"/>
      <c r="HQ96" s="91"/>
      <c r="HR96" s="91"/>
      <c r="HS96" s="91"/>
      <c r="HT96" s="91"/>
      <c r="HU96" s="91"/>
      <c r="HV96" s="91"/>
      <c r="HW96" s="91"/>
      <c r="HX96" s="91"/>
      <c r="HY96" s="91"/>
      <c r="HZ96" s="91"/>
      <c r="IA96" s="91"/>
      <c r="IB96" s="91"/>
      <c r="IC96" s="91"/>
      <c r="ID96" s="91"/>
      <c r="IE96" s="91"/>
      <c r="IF96" s="91"/>
      <c r="IG96" s="91"/>
      <c r="IH96" s="91"/>
      <c r="II96" s="91"/>
      <c r="IJ96" s="91"/>
      <c r="IK96" s="91"/>
      <c r="IL96" s="91"/>
      <c r="IM96" s="91"/>
      <c r="IN96" s="91"/>
      <c r="IO96" s="91"/>
      <c r="IP96" s="91"/>
      <c r="IQ96" s="91"/>
      <c r="IR96" s="91"/>
      <c r="IS96" s="91"/>
      <c r="IT96" s="91"/>
      <c r="IU96" s="91"/>
      <c r="IV96" s="91"/>
    </row>
    <row r="97" s="92" customFormat="1" ht="20.1" customHeight="1" spans="1:256">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1"/>
      <c r="CX97" s="91"/>
      <c r="CY97" s="91"/>
      <c r="CZ97" s="91"/>
      <c r="DA97" s="91"/>
      <c r="DB97" s="91"/>
      <c r="DC97" s="91"/>
      <c r="DD97" s="91"/>
      <c r="DE97" s="91"/>
      <c r="DF97" s="91"/>
      <c r="DG97" s="91"/>
      <c r="DH97" s="91"/>
      <c r="DI97" s="91"/>
      <c r="DJ97" s="91"/>
      <c r="DK97" s="91"/>
      <c r="DL97" s="91"/>
      <c r="DM97" s="91"/>
      <c r="DN97" s="91"/>
      <c r="DO97" s="91"/>
      <c r="DP97" s="91"/>
      <c r="DQ97" s="91"/>
      <c r="DR97" s="91"/>
      <c r="DS97" s="91"/>
      <c r="DT97" s="91"/>
      <c r="DU97" s="91"/>
      <c r="DV97" s="91"/>
      <c r="DW97" s="91"/>
      <c r="DX97" s="91"/>
      <c r="DY97" s="91"/>
      <c r="DZ97" s="91"/>
      <c r="EA97" s="91"/>
      <c r="EB97" s="91"/>
      <c r="EC97" s="91"/>
      <c r="ED97" s="91"/>
      <c r="EE97" s="91"/>
      <c r="EF97" s="91"/>
      <c r="EG97" s="91"/>
      <c r="EH97" s="91"/>
      <c r="EI97" s="91"/>
      <c r="EJ97" s="91"/>
      <c r="EK97" s="91"/>
      <c r="EL97" s="91"/>
      <c r="EM97" s="91"/>
      <c r="EN97" s="91"/>
      <c r="EO97" s="91"/>
      <c r="EP97" s="91"/>
      <c r="EQ97" s="91"/>
      <c r="ER97" s="91"/>
      <c r="ES97" s="91"/>
      <c r="ET97" s="91"/>
      <c r="EU97" s="91"/>
      <c r="EV97" s="91"/>
      <c r="EW97" s="91"/>
      <c r="EX97" s="91"/>
      <c r="EY97" s="91"/>
      <c r="EZ97" s="91"/>
      <c r="FA97" s="91"/>
      <c r="FB97" s="91"/>
      <c r="FC97" s="91"/>
      <c r="FD97" s="91"/>
      <c r="FE97" s="91"/>
      <c r="FF97" s="91"/>
      <c r="FG97" s="91"/>
      <c r="FH97" s="91"/>
      <c r="FI97" s="91"/>
      <c r="FJ97" s="91"/>
      <c r="FK97" s="91"/>
      <c r="FL97" s="91"/>
      <c r="FM97" s="91"/>
      <c r="FN97" s="91"/>
      <c r="FO97" s="91"/>
      <c r="FP97" s="91"/>
      <c r="FQ97" s="91"/>
      <c r="FR97" s="91"/>
      <c r="FS97" s="91"/>
      <c r="FT97" s="91"/>
      <c r="FU97" s="91"/>
      <c r="FV97" s="91"/>
      <c r="FW97" s="91"/>
      <c r="FX97" s="91"/>
      <c r="FY97" s="91"/>
      <c r="FZ97" s="91"/>
      <c r="GA97" s="91"/>
      <c r="GB97" s="91"/>
      <c r="GC97" s="91"/>
      <c r="GD97" s="91"/>
      <c r="GE97" s="91"/>
      <c r="GF97" s="91"/>
      <c r="GG97" s="91"/>
      <c r="GH97" s="91"/>
      <c r="GI97" s="91"/>
      <c r="GJ97" s="91"/>
      <c r="GK97" s="91"/>
      <c r="GL97" s="91"/>
      <c r="GM97" s="91"/>
      <c r="GN97" s="91"/>
      <c r="GO97" s="91"/>
      <c r="GP97" s="91"/>
      <c r="GQ97" s="91"/>
      <c r="GR97" s="91"/>
      <c r="GS97" s="91"/>
      <c r="GT97" s="91"/>
      <c r="GU97" s="91"/>
      <c r="GV97" s="91"/>
      <c r="GW97" s="91"/>
      <c r="GX97" s="91"/>
      <c r="GY97" s="91"/>
      <c r="GZ97" s="91"/>
      <c r="HA97" s="91"/>
      <c r="HB97" s="91"/>
      <c r="HC97" s="91"/>
      <c r="HD97" s="91"/>
      <c r="HE97" s="91"/>
      <c r="HF97" s="91"/>
      <c r="HG97" s="91"/>
      <c r="HH97" s="91"/>
      <c r="HI97" s="91"/>
      <c r="HJ97" s="91"/>
      <c r="HK97" s="91"/>
      <c r="HL97" s="91"/>
      <c r="HM97" s="91"/>
      <c r="HN97" s="91"/>
      <c r="HO97" s="91"/>
      <c r="HP97" s="91"/>
      <c r="HQ97" s="91"/>
      <c r="HR97" s="91"/>
      <c r="HS97" s="91"/>
      <c r="HT97" s="91"/>
      <c r="HU97" s="91"/>
      <c r="HV97" s="91"/>
      <c r="HW97" s="91"/>
      <c r="HX97" s="91"/>
      <c r="HY97" s="91"/>
      <c r="HZ97" s="91"/>
      <c r="IA97" s="91"/>
      <c r="IB97" s="91"/>
      <c r="IC97" s="91"/>
      <c r="ID97" s="91"/>
      <c r="IE97" s="91"/>
      <c r="IF97" s="91"/>
      <c r="IG97" s="91"/>
      <c r="IH97" s="91"/>
      <c r="II97" s="91"/>
      <c r="IJ97" s="91"/>
      <c r="IK97" s="91"/>
      <c r="IL97" s="91"/>
      <c r="IM97" s="91"/>
      <c r="IN97" s="91"/>
      <c r="IO97" s="91"/>
      <c r="IP97" s="91"/>
      <c r="IQ97" s="91"/>
      <c r="IR97" s="91"/>
      <c r="IS97" s="91"/>
      <c r="IT97" s="91"/>
      <c r="IU97" s="91"/>
      <c r="IV97" s="91"/>
    </row>
    <row r="98" s="92" customFormat="1" ht="20.1" customHeight="1" spans="1:256">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c r="CV98" s="91"/>
      <c r="CW98" s="91"/>
      <c r="CX98" s="91"/>
      <c r="CY98" s="91"/>
      <c r="CZ98" s="91"/>
      <c r="DA98" s="91"/>
      <c r="DB98" s="91"/>
      <c r="DC98" s="91"/>
      <c r="DD98" s="91"/>
      <c r="DE98" s="91"/>
      <c r="DF98" s="91"/>
      <c r="DG98" s="91"/>
      <c r="DH98" s="91"/>
      <c r="DI98" s="91"/>
      <c r="DJ98" s="91"/>
      <c r="DK98" s="91"/>
      <c r="DL98" s="91"/>
      <c r="DM98" s="91"/>
      <c r="DN98" s="91"/>
      <c r="DO98" s="91"/>
      <c r="DP98" s="91"/>
      <c r="DQ98" s="91"/>
      <c r="DR98" s="91"/>
      <c r="DS98" s="91"/>
      <c r="DT98" s="91"/>
      <c r="DU98" s="91"/>
      <c r="DV98" s="91"/>
      <c r="DW98" s="91"/>
      <c r="DX98" s="91"/>
      <c r="DY98" s="91"/>
      <c r="DZ98" s="91"/>
      <c r="EA98" s="91"/>
      <c r="EB98" s="91"/>
      <c r="EC98" s="91"/>
      <c r="ED98" s="91"/>
      <c r="EE98" s="91"/>
      <c r="EF98" s="91"/>
      <c r="EG98" s="91"/>
      <c r="EH98" s="91"/>
      <c r="EI98" s="91"/>
      <c r="EJ98" s="91"/>
      <c r="EK98" s="91"/>
      <c r="EL98" s="91"/>
      <c r="EM98" s="91"/>
      <c r="EN98" s="91"/>
      <c r="EO98" s="91"/>
      <c r="EP98" s="91"/>
      <c r="EQ98" s="91"/>
      <c r="ER98" s="91"/>
      <c r="ES98" s="91"/>
      <c r="ET98" s="91"/>
      <c r="EU98" s="91"/>
      <c r="EV98" s="91"/>
      <c r="EW98" s="91"/>
      <c r="EX98" s="91"/>
      <c r="EY98" s="91"/>
      <c r="EZ98" s="91"/>
      <c r="FA98" s="91"/>
      <c r="FB98" s="91"/>
      <c r="FC98" s="91"/>
      <c r="FD98" s="91"/>
      <c r="FE98" s="91"/>
      <c r="FF98" s="91"/>
      <c r="FG98" s="91"/>
      <c r="FH98" s="91"/>
      <c r="FI98" s="91"/>
      <c r="FJ98" s="91"/>
      <c r="FK98" s="91"/>
      <c r="FL98" s="91"/>
      <c r="FM98" s="91"/>
      <c r="FN98" s="91"/>
      <c r="FO98" s="91"/>
      <c r="FP98" s="91"/>
      <c r="FQ98" s="91"/>
      <c r="FR98" s="91"/>
      <c r="FS98" s="91"/>
      <c r="FT98" s="91"/>
      <c r="FU98" s="91"/>
      <c r="FV98" s="91"/>
      <c r="FW98" s="91"/>
      <c r="FX98" s="91"/>
      <c r="FY98" s="91"/>
      <c r="FZ98" s="91"/>
      <c r="GA98" s="91"/>
      <c r="GB98" s="91"/>
      <c r="GC98" s="91"/>
      <c r="GD98" s="91"/>
      <c r="GE98" s="91"/>
      <c r="GF98" s="91"/>
      <c r="GG98" s="91"/>
      <c r="GH98" s="91"/>
      <c r="GI98" s="91"/>
      <c r="GJ98" s="91"/>
      <c r="GK98" s="91"/>
      <c r="GL98" s="91"/>
      <c r="GM98" s="91"/>
      <c r="GN98" s="91"/>
      <c r="GO98" s="91"/>
      <c r="GP98" s="91"/>
      <c r="GQ98" s="91"/>
      <c r="GR98" s="91"/>
      <c r="GS98" s="91"/>
      <c r="GT98" s="91"/>
      <c r="GU98" s="91"/>
      <c r="GV98" s="91"/>
      <c r="GW98" s="91"/>
      <c r="GX98" s="91"/>
      <c r="GY98" s="91"/>
      <c r="GZ98" s="91"/>
      <c r="HA98" s="91"/>
      <c r="HB98" s="91"/>
      <c r="HC98" s="91"/>
      <c r="HD98" s="91"/>
      <c r="HE98" s="91"/>
      <c r="HF98" s="91"/>
      <c r="HG98" s="91"/>
      <c r="HH98" s="91"/>
      <c r="HI98" s="91"/>
      <c r="HJ98" s="91"/>
      <c r="HK98" s="91"/>
      <c r="HL98" s="91"/>
      <c r="HM98" s="91"/>
      <c r="HN98" s="91"/>
      <c r="HO98" s="91"/>
      <c r="HP98" s="91"/>
      <c r="HQ98" s="91"/>
      <c r="HR98" s="91"/>
      <c r="HS98" s="91"/>
      <c r="HT98" s="91"/>
      <c r="HU98" s="91"/>
      <c r="HV98" s="91"/>
      <c r="HW98" s="91"/>
      <c r="HX98" s="91"/>
      <c r="HY98" s="91"/>
      <c r="HZ98" s="91"/>
      <c r="IA98" s="91"/>
      <c r="IB98" s="91"/>
      <c r="IC98" s="91"/>
      <c r="ID98" s="91"/>
      <c r="IE98" s="91"/>
      <c r="IF98" s="91"/>
      <c r="IG98" s="91"/>
      <c r="IH98" s="91"/>
      <c r="II98" s="91"/>
      <c r="IJ98" s="91"/>
      <c r="IK98" s="91"/>
      <c r="IL98" s="91"/>
      <c r="IM98" s="91"/>
      <c r="IN98" s="91"/>
      <c r="IO98" s="91"/>
      <c r="IP98" s="91"/>
      <c r="IQ98" s="91"/>
      <c r="IR98" s="91"/>
      <c r="IS98" s="91"/>
      <c r="IT98" s="91"/>
      <c r="IU98" s="91"/>
      <c r="IV98" s="91"/>
    </row>
    <row r="99" s="92" customFormat="1" ht="20.1" customHeight="1" spans="1:256">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c r="CV99" s="91"/>
      <c r="CW99" s="91"/>
      <c r="CX99" s="91"/>
      <c r="CY99" s="91"/>
      <c r="CZ99" s="91"/>
      <c r="DA99" s="91"/>
      <c r="DB99" s="91"/>
      <c r="DC99" s="91"/>
      <c r="DD99" s="91"/>
      <c r="DE99" s="91"/>
      <c r="DF99" s="91"/>
      <c r="DG99" s="91"/>
      <c r="DH99" s="91"/>
      <c r="DI99" s="91"/>
      <c r="DJ99" s="91"/>
      <c r="DK99" s="91"/>
      <c r="DL99" s="91"/>
      <c r="DM99" s="91"/>
      <c r="DN99" s="91"/>
      <c r="DO99" s="91"/>
      <c r="DP99" s="91"/>
      <c r="DQ99" s="91"/>
      <c r="DR99" s="91"/>
      <c r="DS99" s="91"/>
      <c r="DT99" s="91"/>
      <c r="DU99" s="91"/>
      <c r="DV99" s="91"/>
      <c r="DW99" s="91"/>
      <c r="DX99" s="91"/>
      <c r="DY99" s="91"/>
      <c r="DZ99" s="91"/>
      <c r="EA99" s="91"/>
      <c r="EB99" s="91"/>
      <c r="EC99" s="91"/>
      <c r="ED99" s="91"/>
      <c r="EE99" s="91"/>
      <c r="EF99" s="91"/>
      <c r="EG99" s="91"/>
      <c r="EH99" s="91"/>
      <c r="EI99" s="91"/>
      <c r="EJ99" s="91"/>
      <c r="EK99" s="91"/>
      <c r="EL99" s="91"/>
      <c r="EM99" s="91"/>
      <c r="EN99" s="91"/>
      <c r="EO99" s="91"/>
      <c r="EP99" s="91"/>
      <c r="EQ99" s="91"/>
      <c r="ER99" s="91"/>
      <c r="ES99" s="91"/>
      <c r="ET99" s="91"/>
      <c r="EU99" s="91"/>
      <c r="EV99" s="91"/>
      <c r="EW99" s="91"/>
      <c r="EX99" s="91"/>
      <c r="EY99" s="91"/>
      <c r="EZ99" s="91"/>
      <c r="FA99" s="91"/>
      <c r="FB99" s="91"/>
      <c r="FC99" s="91"/>
      <c r="FD99" s="91"/>
      <c r="FE99" s="91"/>
      <c r="FF99" s="91"/>
      <c r="FG99" s="91"/>
      <c r="FH99" s="91"/>
      <c r="FI99" s="91"/>
      <c r="FJ99" s="91"/>
      <c r="FK99" s="91"/>
      <c r="FL99" s="91"/>
      <c r="FM99" s="91"/>
      <c r="FN99" s="91"/>
      <c r="FO99" s="91"/>
      <c r="FP99" s="91"/>
      <c r="FQ99" s="91"/>
      <c r="FR99" s="91"/>
      <c r="FS99" s="91"/>
      <c r="FT99" s="91"/>
      <c r="FU99" s="91"/>
      <c r="FV99" s="91"/>
      <c r="FW99" s="91"/>
      <c r="FX99" s="91"/>
      <c r="FY99" s="91"/>
      <c r="FZ99" s="91"/>
      <c r="GA99" s="91"/>
      <c r="GB99" s="91"/>
      <c r="GC99" s="91"/>
      <c r="GD99" s="91"/>
      <c r="GE99" s="91"/>
      <c r="GF99" s="91"/>
      <c r="GG99" s="91"/>
      <c r="GH99" s="91"/>
      <c r="GI99" s="91"/>
      <c r="GJ99" s="91"/>
      <c r="GK99" s="91"/>
      <c r="GL99" s="91"/>
      <c r="GM99" s="91"/>
      <c r="GN99" s="91"/>
      <c r="GO99" s="91"/>
      <c r="GP99" s="91"/>
      <c r="GQ99" s="91"/>
      <c r="GR99" s="91"/>
      <c r="GS99" s="91"/>
      <c r="GT99" s="91"/>
      <c r="GU99" s="91"/>
      <c r="GV99" s="91"/>
      <c r="GW99" s="91"/>
      <c r="GX99" s="91"/>
      <c r="GY99" s="91"/>
      <c r="GZ99" s="91"/>
      <c r="HA99" s="91"/>
      <c r="HB99" s="91"/>
      <c r="HC99" s="91"/>
      <c r="HD99" s="91"/>
      <c r="HE99" s="91"/>
      <c r="HF99" s="91"/>
      <c r="HG99" s="91"/>
      <c r="HH99" s="91"/>
      <c r="HI99" s="91"/>
      <c r="HJ99" s="91"/>
      <c r="HK99" s="91"/>
      <c r="HL99" s="91"/>
      <c r="HM99" s="91"/>
      <c r="HN99" s="91"/>
      <c r="HO99" s="91"/>
      <c r="HP99" s="91"/>
      <c r="HQ99" s="91"/>
      <c r="HR99" s="91"/>
      <c r="HS99" s="91"/>
      <c r="HT99" s="91"/>
      <c r="HU99" s="91"/>
      <c r="HV99" s="91"/>
      <c r="HW99" s="91"/>
      <c r="HX99" s="91"/>
      <c r="HY99" s="91"/>
      <c r="HZ99" s="91"/>
      <c r="IA99" s="91"/>
      <c r="IB99" s="91"/>
      <c r="IC99" s="91"/>
      <c r="ID99" s="91"/>
      <c r="IE99" s="91"/>
      <c r="IF99" s="91"/>
      <c r="IG99" s="91"/>
      <c r="IH99" s="91"/>
      <c r="II99" s="91"/>
      <c r="IJ99" s="91"/>
      <c r="IK99" s="91"/>
      <c r="IL99" s="91"/>
      <c r="IM99" s="91"/>
      <c r="IN99" s="91"/>
      <c r="IO99" s="91"/>
      <c r="IP99" s="91"/>
      <c r="IQ99" s="91"/>
      <c r="IR99" s="91"/>
      <c r="IS99" s="91"/>
      <c r="IT99" s="91"/>
      <c r="IU99" s="91"/>
      <c r="IV99" s="91"/>
    </row>
    <row r="100" s="92" customFormat="1" ht="20.1" customHeight="1" spans="1:256">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c r="BL100" s="91"/>
      <c r="BM100" s="91"/>
      <c r="BN100" s="91"/>
      <c r="BO100" s="91"/>
      <c r="BP100" s="91"/>
      <c r="BQ100" s="91"/>
      <c r="BR100" s="91"/>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c r="CV100" s="91"/>
      <c r="CW100" s="91"/>
      <c r="CX100" s="91"/>
      <c r="CY100" s="91"/>
      <c r="CZ100" s="91"/>
      <c r="DA100" s="91"/>
      <c r="DB100" s="91"/>
      <c r="DC100" s="91"/>
      <c r="DD100" s="91"/>
      <c r="DE100" s="91"/>
      <c r="DF100" s="91"/>
      <c r="DG100" s="91"/>
      <c r="DH100" s="91"/>
      <c r="DI100" s="91"/>
      <c r="DJ100" s="91"/>
      <c r="DK100" s="91"/>
      <c r="DL100" s="91"/>
      <c r="DM100" s="91"/>
      <c r="DN100" s="91"/>
      <c r="DO100" s="91"/>
      <c r="DP100" s="91"/>
      <c r="DQ100" s="91"/>
      <c r="DR100" s="91"/>
      <c r="DS100" s="91"/>
      <c r="DT100" s="91"/>
      <c r="DU100" s="91"/>
      <c r="DV100" s="91"/>
      <c r="DW100" s="91"/>
      <c r="DX100" s="91"/>
      <c r="DY100" s="91"/>
      <c r="DZ100" s="91"/>
      <c r="EA100" s="91"/>
      <c r="EB100" s="91"/>
      <c r="EC100" s="91"/>
      <c r="ED100" s="91"/>
      <c r="EE100" s="91"/>
      <c r="EF100" s="91"/>
      <c r="EG100" s="91"/>
      <c r="EH100" s="91"/>
      <c r="EI100" s="91"/>
      <c r="EJ100" s="91"/>
      <c r="EK100" s="91"/>
      <c r="EL100" s="91"/>
      <c r="EM100" s="91"/>
      <c r="EN100" s="91"/>
      <c r="EO100" s="91"/>
      <c r="EP100" s="91"/>
      <c r="EQ100" s="91"/>
      <c r="ER100" s="91"/>
      <c r="ES100" s="91"/>
      <c r="ET100" s="91"/>
      <c r="EU100" s="91"/>
      <c r="EV100" s="91"/>
      <c r="EW100" s="91"/>
      <c r="EX100" s="91"/>
      <c r="EY100" s="91"/>
      <c r="EZ100" s="91"/>
      <c r="FA100" s="91"/>
      <c r="FB100" s="91"/>
      <c r="FC100" s="91"/>
      <c r="FD100" s="91"/>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1"/>
      <c r="GC100" s="91"/>
      <c r="GD100" s="91"/>
      <c r="GE100" s="91"/>
      <c r="GF100" s="91"/>
      <c r="GG100" s="91"/>
      <c r="GH100" s="91"/>
      <c r="GI100" s="91"/>
      <c r="GJ100" s="91"/>
      <c r="GK100" s="91"/>
      <c r="GL100" s="91"/>
      <c r="GM100" s="91"/>
      <c r="GN100" s="91"/>
      <c r="GO100" s="91"/>
      <c r="GP100" s="91"/>
      <c r="GQ100" s="91"/>
      <c r="GR100" s="91"/>
      <c r="GS100" s="91"/>
      <c r="GT100" s="91"/>
      <c r="GU100" s="91"/>
      <c r="GV100" s="91"/>
      <c r="GW100" s="91"/>
      <c r="GX100" s="91"/>
      <c r="GY100" s="91"/>
      <c r="GZ100" s="91"/>
      <c r="HA100" s="91"/>
      <c r="HB100" s="91"/>
      <c r="HC100" s="91"/>
      <c r="HD100" s="91"/>
      <c r="HE100" s="91"/>
      <c r="HF100" s="91"/>
      <c r="HG100" s="91"/>
      <c r="HH100" s="91"/>
      <c r="HI100" s="91"/>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1"/>
      <c r="IL100" s="91"/>
      <c r="IM100" s="91"/>
      <c r="IN100" s="91"/>
      <c r="IO100" s="91"/>
      <c r="IP100" s="91"/>
      <c r="IQ100" s="91"/>
      <c r="IR100" s="91"/>
      <c r="IS100" s="91"/>
      <c r="IT100" s="91"/>
      <c r="IU100" s="91"/>
      <c r="IV100" s="91"/>
    </row>
    <row r="101" s="92" customFormat="1" ht="20.1" customHeight="1" spans="1:256">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91"/>
      <c r="DP101" s="91"/>
      <c r="DQ101" s="91"/>
      <c r="DR101" s="91"/>
      <c r="DS101" s="91"/>
      <c r="DT101" s="91"/>
      <c r="DU101" s="91"/>
      <c r="DV101" s="91"/>
      <c r="DW101" s="91"/>
      <c r="DX101" s="91"/>
      <c r="DY101" s="91"/>
      <c r="DZ101" s="91"/>
      <c r="EA101" s="91"/>
      <c r="EB101" s="91"/>
      <c r="EC101" s="91"/>
      <c r="ED101" s="91"/>
      <c r="EE101" s="91"/>
      <c r="EF101" s="91"/>
      <c r="EG101" s="91"/>
      <c r="EH101" s="91"/>
      <c r="EI101" s="91"/>
      <c r="EJ101" s="91"/>
      <c r="EK101" s="91"/>
      <c r="EL101" s="91"/>
      <c r="EM101" s="91"/>
      <c r="EN101" s="91"/>
      <c r="EO101" s="91"/>
      <c r="EP101" s="91"/>
      <c r="EQ101" s="91"/>
      <c r="ER101" s="91"/>
      <c r="ES101" s="91"/>
      <c r="ET101" s="91"/>
      <c r="EU101" s="91"/>
      <c r="EV101" s="91"/>
      <c r="EW101" s="91"/>
      <c r="EX101" s="91"/>
      <c r="EY101" s="91"/>
      <c r="EZ101" s="91"/>
      <c r="FA101" s="91"/>
      <c r="FB101" s="91"/>
      <c r="FC101" s="91"/>
      <c r="FD101" s="91"/>
      <c r="FE101" s="91"/>
      <c r="FF101" s="91"/>
      <c r="FG101" s="91"/>
      <c r="FH101" s="91"/>
      <c r="FI101" s="91"/>
      <c r="FJ101" s="91"/>
      <c r="FK101" s="91"/>
      <c r="FL101" s="91"/>
      <c r="FM101" s="91"/>
      <c r="FN101" s="91"/>
      <c r="FO101" s="91"/>
      <c r="FP101" s="91"/>
      <c r="FQ101" s="91"/>
      <c r="FR101" s="91"/>
      <c r="FS101" s="91"/>
      <c r="FT101" s="91"/>
      <c r="FU101" s="91"/>
      <c r="FV101" s="91"/>
      <c r="FW101" s="91"/>
      <c r="FX101" s="91"/>
      <c r="FY101" s="91"/>
      <c r="FZ101" s="91"/>
      <c r="GA101" s="91"/>
      <c r="GB101" s="91"/>
      <c r="GC101" s="91"/>
      <c r="GD101" s="91"/>
      <c r="GE101" s="91"/>
      <c r="GF101" s="91"/>
      <c r="GG101" s="91"/>
      <c r="GH101" s="91"/>
      <c r="GI101" s="91"/>
      <c r="GJ101" s="91"/>
      <c r="GK101" s="91"/>
      <c r="GL101" s="91"/>
      <c r="GM101" s="91"/>
      <c r="GN101" s="91"/>
      <c r="GO101" s="91"/>
      <c r="GP101" s="91"/>
      <c r="GQ101" s="91"/>
      <c r="GR101" s="91"/>
      <c r="GS101" s="91"/>
      <c r="GT101" s="91"/>
      <c r="GU101" s="91"/>
      <c r="GV101" s="91"/>
      <c r="GW101" s="91"/>
      <c r="GX101" s="91"/>
      <c r="GY101" s="91"/>
      <c r="GZ101" s="91"/>
      <c r="HA101" s="91"/>
      <c r="HB101" s="91"/>
      <c r="HC101" s="91"/>
      <c r="HD101" s="91"/>
      <c r="HE101" s="91"/>
      <c r="HF101" s="91"/>
      <c r="HG101" s="91"/>
      <c r="HH101" s="91"/>
      <c r="HI101" s="91"/>
      <c r="HJ101" s="91"/>
      <c r="HK101" s="91"/>
      <c r="HL101" s="91"/>
      <c r="HM101" s="91"/>
      <c r="HN101" s="91"/>
      <c r="HO101" s="91"/>
      <c r="HP101" s="91"/>
      <c r="HQ101" s="91"/>
      <c r="HR101" s="91"/>
      <c r="HS101" s="91"/>
      <c r="HT101" s="91"/>
      <c r="HU101" s="91"/>
      <c r="HV101" s="91"/>
      <c r="HW101" s="91"/>
      <c r="HX101" s="91"/>
      <c r="HY101" s="91"/>
      <c r="HZ101" s="91"/>
      <c r="IA101" s="91"/>
      <c r="IB101" s="91"/>
      <c r="IC101" s="91"/>
      <c r="ID101" s="91"/>
      <c r="IE101" s="91"/>
      <c r="IF101" s="91"/>
      <c r="IG101" s="91"/>
      <c r="IH101" s="91"/>
      <c r="II101" s="91"/>
      <c r="IJ101" s="91"/>
      <c r="IK101" s="91"/>
      <c r="IL101" s="91"/>
      <c r="IM101" s="91"/>
      <c r="IN101" s="91"/>
      <c r="IO101" s="91"/>
      <c r="IP101" s="91"/>
      <c r="IQ101" s="91"/>
      <c r="IR101" s="91"/>
      <c r="IS101" s="91"/>
      <c r="IT101" s="91"/>
      <c r="IU101" s="91"/>
      <c r="IV101" s="91"/>
    </row>
    <row r="102" s="92" customFormat="1" ht="20.1" customHeight="1" spans="1:256">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c r="BV102" s="91"/>
      <c r="BW102" s="91"/>
      <c r="BX102" s="91"/>
      <c r="BY102" s="91"/>
      <c r="BZ102" s="91"/>
      <c r="CA102" s="91"/>
      <c r="CB102" s="91"/>
      <c r="CC102" s="91"/>
      <c r="CD102" s="91"/>
      <c r="CE102" s="91"/>
      <c r="CF102" s="91"/>
      <c r="CG102" s="91"/>
      <c r="CH102" s="91"/>
      <c r="CI102" s="91"/>
      <c r="CJ102" s="91"/>
      <c r="CK102" s="91"/>
      <c r="CL102" s="91"/>
      <c r="CM102" s="91"/>
      <c r="CN102" s="91"/>
      <c r="CO102" s="91"/>
      <c r="CP102" s="91"/>
      <c r="CQ102" s="91"/>
      <c r="CR102" s="91"/>
      <c r="CS102" s="91"/>
      <c r="CT102" s="91"/>
      <c r="CU102" s="91"/>
      <c r="CV102" s="91"/>
      <c r="CW102" s="91"/>
      <c r="CX102" s="91"/>
      <c r="CY102" s="91"/>
      <c r="CZ102" s="91"/>
      <c r="DA102" s="91"/>
      <c r="DB102" s="91"/>
      <c r="DC102" s="91"/>
      <c r="DD102" s="91"/>
      <c r="DE102" s="91"/>
      <c r="DF102" s="91"/>
      <c r="DG102" s="91"/>
      <c r="DH102" s="91"/>
      <c r="DI102" s="91"/>
      <c r="DJ102" s="91"/>
      <c r="DK102" s="91"/>
      <c r="DL102" s="91"/>
      <c r="DM102" s="91"/>
      <c r="DN102" s="91"/>
      <c r="DO102" s="91"/>
      <c r="DP102" s="91"/>
      <c r="DQ102" s="91"/>
      <c r="DR102" s="91"/>
      <c r="DS102" s="91"/>
      <c r="DT102" s="91"/>
      <c r="DU102" s="91"/>
      <c r="DV102" s="91"/>
      <c r="DW102" s="91"/>
      <c r="DX102" s="91"/>
      <c r="DY102" s="91"/>
      <c r="DZ102" s="91"/>
      <c r="EA102" s="91"/>
      <c r="EB102" s="91"/>
      <c r="EC102" s="91"/>
      <c r="ED102" s="91"/>
      <c r="EE102" s="91"/>
      <c r="EF102" s="91"/>
      <c r="EG102" s="91"/>
      <c r="EH102" s="91"/>
      <c r="EI102" s="91"/>
      <c r="EJ102" s="91"/>
      <c r="EK102" s="91"/>
      <c r="EL102" s="91"/>
      <c r="EM102" s="91"/>
      <c r="EN102" s="91"/>
      <c r="EO102" s="91"/>
      <c r="EP102" s="91"/>
      <c r="EQ102" s="91"/>
      <c r="ER102" s="91"/>
      <c r="ES102" s="91"/>
      <c r="ET102" s="91"/>
      <c r="EU102" s="91"/>
      <c r="EV102" s="91"/>
      <c r="EW102" s="91"/>
      <c r="EX102" s="91"/>
      <c r="EY102" s="91"/>
      <c r="EZ102" s="91"/>
      <c r="FA102" s="91"/>
      <c r="FB102" s="91"/>
      <c r="FC102" s="91"/>
      <c r="FD102" s="91"/>
      <c r="FE102" s="91"/>
      <c r="FF102" s="91"/>
      <c r="FG102" s="91"/>
      <c r="FH102" s="91"/>
      <c r="FI102" s="91"/>
      <c r="FJ102" s="91"/>
      <c r="FK102" s="91"/>
      <c r="FL102" s="91"/>
      <c r="FM102" s="91"/>
      <c r="FN102" s="91"/>
      <c r="FO102" s="91"/>
      <c r="FP102" s="91"/>
      <c r="FQ102" s="91"/>
      <c r="FR102" s="91"/>
      <c r="FS102" s="91"/>
      <c r="FT102" s="91"/>
      <c r="FU102" s="91"/>
      <c r="FV102" s="91"/>
      <c r="FW102" s="91"/>
      <c r="FX102" s="91"/>
      <c r="FY102" s="91"/>
      <c r="FZ102" s="91"/>
      <c r="GA102" s="91"/>
      <c r="GB102" s="91"/>
      <c r="GC102" s="91"/>
      <c r="GD102" s="91"/>
      <c r="GE102" s="91"/>
      <c r="GF102" s="91"/>
      <c r="GG102" s="91"/>
      <c r="GH102" s="91"/>
      <c r="GI102" s="91"/>
      <c r="GJ102" s="91"/>
      <c r="GK102" s="91"/>
      <c r="GL102" s="91"/>
      <c r="GM102" s="91"/>
      <c r="GN102" s="91"/>
      <c r="GO102" s="91"/>
      <c r="GP102" s="91"/>
      <c r="GQ102" s="91"/>
      <c r="GR102" s="91"/>
      <c r="GS102" s="91"/>
      <c r="GT102" s="91"/>
      <c r="GU102" s="91"/>
      <c r="GV102" s="91"/>
      <c r="GW102" s="91"/>
      <c r="GX102" s="91"/>
      <c r="GY102" s="91"/>
      <c r="GZ102" s="91"/>
      <c r="HA102" s="91"/>
      <c r="HB102" s="91"/>
      <c r="HC102" s="91"/>
      <c r="HD102" s="91"/>
      <c r="HE102" s="91"/>
      <c r="HF102" s="91"/>
      <c r="HG102" s="91"/>
      <c r="HH102" s="91"/>
      <c r="HI102" s="91"/>
      <c r="HJ102" s="91"/>
      <c r="HK102" s="91"/>
      <c r="HL102" s="91"/>
      <c r="HM102" s="91"/>
      <c r="HN102" s="91"/>
      <c r="HO102" s="91"/>
      <c r="HP102" s="91"/>
      <c r="HQ102" s="91"/>
      <c r="HR102" s="91"/>
      <c r="HS102" s="91"/>
      <c r="HT102" s="91"/>
      <c r="HU102" s="91"/>
      <c r="HV102" s="91"/>
      <c r="HW102" s="91"/>
      <c r="HX102" s="91"/>
      <c r="HY102" s="91"/>
      <c r="HZ102" s="91"/>
      <c r="IA102" s="91"/>
      <c r="IB102" s="91"/>
      <c r="IC102" s="91"/>
      <c r="ID102" s="91"/>
      <c r="IE102" s="91"/>
      <c r="IF102" s="91"/>
      <c r="IG102" s="91"/>
      <c r="IH102" s="91"/>
      <c r="II102" s="91"/>
      <c r="IJ102" s="91"/>
      <c r="IK102" s="91"/>
      <c r="IL102" s="91"/>
      <c r="IM102" s="91"/>
      <c r="IN102" s="91"/>
      <c r="IO102" s="91"/>
      <c r="IP102" s="91"/>
      <c r="IQ102" s="91"/>
      <c r="IR102" s="91"/>
      <c r="IS102" s="91"/>
      <c r="IT102" s="91"/>
      <c r="IU102" s="91"/>
      <c r="IV102" s="91"/>
    </row>
    <row r="103" s="92" customFormat="1" ht="20.1" customHeight="1" spans="1:256">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91"/>
      <c r="BS103" s="91"/>
      <c r="BT103" s="91"/>
      <c r="BU103" s="91"/>
      <c r="BV103" s="91"/>
      <c r="BW103" s="91"/>
      <c r="BX103" s="91"/>
      <c r="BY103" s="91"/>
      <c r="BZ103" s="91"/>
      <c r="CA103" s="91"/>
      <c r="CB103" s="91"/>
      <c r="CC103" s="91"/>
      <c r="CD103" s="91"/>
      <c r="CE103" s="91"/>
      <c r="CF103" s="91"/>
      <c r="CG103" s="91"/>
      <c r="CH103" s="91"/>
      <c r="CI103" s="91"/>
      <c r="CJ103" s="91"/>
      <c r="CK103" s="91"/>
      <c r="CL103" s="91"/>
      <c r="CM103" s="91"/>
      <c r="CN103" s="91"/>
      <c r="CO103" s="91"/>
      <c r="CP103" s="91"/>
      <c r="CQ103" s="91"/>
      <c r="CR103" s="91"/>
      <c r="CS103" s="91"/>
      <c r="CT103" s="91"/>
      <c r="CU103" s="91"/>
      <c r="CV103" s="91"/>
      <c r="CW103" s="91"/>
      <c r="CX103" s="91"/>
      <c r="CY103" s="91"/>
      <c r="CZ103" s="91"/>
      <c r="DA103" s="91"/>
      <c r="DB103" s="91"/>
      <c r="DC103" s="91"/>
      <c r="DD103" s="91"/>
      <c r="DE103" s="91"/>
      <c r="DF103" s="91"/>
      <c r="DG103" s="91"/>
      <c r="DH103" s="91"/>
      <c r="DI103" s="91"/>
      <c r="DJ103" s="91"/>
      <c r="DK103" s="91"/>
      <c r="DL103" s="91"/>
      <c r="DM103" s="91"/>
      <c r="DN103" s="91"/>
      <c r="DO103" s="91"/>
      <c r="DP103" s="91"/>
      <c r="DQ103" s="91"/>
      <c r="DR103" s="91"/>
      <c r="DS103" s="91"/>
      <c r="DT103" s="91"/>
      <c r="DU103" s="91"/>
      <c r="DV103" s="91"/>
      <c r="DW103" s="91"/>
      <c r="DX103" s="91"/>
      <c r="DY103" s="91"/>
      <c r="DZ103" s="91"/>
      <c r="EA103" s="91"/>
      <c r="EB103" s="91"/>
      <c r="EC103" s="91"/>
      <c r="ED103" s="91"/>
      <c r="EE103" s="91"/>
      <c r="EF103" s="91"/>
      <c r="EG103" s="91"/>
      <c r="EH103" s="91"/>
      <c r="EI103" s="91"/>
      <c r="EJ103" s="91"/>
      <c r="EK103" s="91"/>
      <c r="EL103" s="91"/>
      <c r="EM103" s="91"/>
      <c r="EN103" s="91"/>
      <c r="EO103" s="91"/>
      <c r="EP103" s="91"/>
      <c r="EQ103" s="91"/>
      <c r="ER103" s="91"/>
      <c r="ES103" s="91"/>
      <c r="ET103" s="91"/>
      <c r="EU103" s="91"/>
      <c r="EV103" s="91"/>
      <c r="EW103" s="91"/>
      <c r="EX103" s="91"/>
      <c r="EY103" s="91"/>
      <c r="EZ103" s="91"/>
      <c r="FA103" s="91"/>
      <c r="FB103" s="91"/>
      <c r="FC103" s="91"/>
      <c r="FD103" s="91"/>
      <c r="FE103" s="91"/>
      <c r="FF103" s="91"/>
      <c r="FG103" s="91"/>
      <c r="FH103" s="91"/>
      <c r="FI103" s="91"/>
      <c r="FJ103" s="91"/>
      <c r="FK103" s="91"/>
      <c r="FL103" s="91"/>
      <c r="FM103" s="91"/>
      <c r="FN103" s="91"/>
      <c r="FO103" s="91"/>
      <c r="FP103" s="91"/>
      <c r="FQ103" s="91"/>
      <c r="FR103" s="91"/>
      <c r="FS103" s="91"/>
      <c r="FT103" s="91"/>
      <c r="FU103" s="91"/>
      <c r="FV103" s="91"/>
      <c r="FW103" s="91"/>
      <c r="FX103" s="91"/>
      <c r="FY103" s="91"/>
      <c r="FZ103" s="91"/>
      <c r="GA103" s="91"/>
      <c r="GB103" s="91"/>
      <c r="GC103" s="91"/>
      <c r="GD103" s="91"/>
      <c r="GE103" s="91"/>
      <c r="GF103" s="91"/>
      <c r="GG103" s="91"/>
      <c r="GH103" s="91"/>
      <c r="GI103" s="91"/>
      <c r="GJ103" s="91"/>
      <c r="GK103" s="91"/>
      <c r="GL103" s="91"/>
      <c r="GM103" s="91"/>
      <c r="GN103" s="91"/>
      <c r="GO103" s="91"/>
      <c r="GP103" s="91"/>
      <c r="GQ103" s="91"/>
      <c r="GR103" s="91"/>
      <c r="GS103" s="91"/>
      <c r="GT103" s="91"/>
      <c r="GU103" s="91"/>
      <c r="GV103" s="91"/>
      <c r="GW103" s="91"/>
      <c r="GX103" s="91"/>
      <c r="GY103" s="91"/>
      <c r="GZ103" s="91"/>
      <c r="HA103" s="91"/>
      <c r="HB103" s="91"/>
      <c r="HC103" s="91"/>
      <c r="HD103" s="91"/>
      <c r="HE103" s="91"/>
      <c r="HF103" s="91"/>
      <c r="HG103" s="91"/>
      <c r="HH103" s="91"/>
      <c r="HI103" s="91"/>
      <c r="HJ103" s="91"/>
      <c r="HK103" s="91"/>
      <c r="HL103" s="91"/>
      <c r="HM103" s="91"/>
      <c r="HN103" s="91"/>
      <c r="HO103" s="91"/>
      <c r="HP103" s="91"/>
      <c r="HQ103" s="91"/>
      <c r="HR103" s="91"/>
      <c r="HS103" s="91"/>
      <c r="HT103" s="91"/>
      <c r="HU103" s="91"/>
      <c r="HV103" s="91"/>
      <c r="HW103" s="91"/>
      <c r="HX103" s="91"/>
      <c r="HY103" s="91"/>
      <c r="HZ103" s="91"/>
      <c r="IA103" s="91"/>
      <c r="IB103" s="91"/>
      <c r="IC103" s="91"/>
      <c r="ID103" s="91"/>
      <c r="IE103" s="91"/>
      <c r="IF103" s="91"/>
      <c r="IG103" s="91"/>
      <c r="IH103" s="91"/>
      <c r="II103" s="91"/>
      <c r="IJ103" s="91"/>
      <c r="IK103" s="91"/>
      <c r="IL103" s="91"/>
      <c r="IM103" s="91"/>
      <c r="IN103" s="91"/>
      <c r="IO103" s="91"/>
      <c r="IP103" s="91"/>
      <c r="IQ103" s="91"/>
      <c r="IR103" s="91"/>
      <c r="IS103" s="91"/>
      <c r="IT103" s="91"/>
      <c r="IU103" s="91"/>
      <c r="IV103" s="91"/>
    </row>
    <row r="104" s="92" customFormat="1" ht="20.1" customHeight="1" spans="1:256">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1"/>
      <c r="BR104" s="91"/>
      <c r="BS104" s="91"/>
      <c r="BT104" s="91"/>
      <c r="BU104" s="91"/>
      <c r="BV104" s="91"/>
      <c r="BW104" s="91"/>
      <c r="BX104" s="91"/>
      <c r="BY104" s="91"/>
      <c r="BZ104" s="91"/>
      <c r="CA104" s="91"/>
      <c r="CB104" s="91"/>
      <c r="CC104" s="91"/>
      <c r="CD104" s="91"/>
      <c r="CE104" s="91"/>
      <c r="CF104" s="91"/>
      <c r="CG104" s="91"/>
      <c r="CH104" s="91"/>
      <c r="CI104" s="91"/>
      <c r="CJ104" s="91"/>
      <c r="CK104" s="91"/>
      <c r="CL104" s="91"/>
      <c r="CM104" s="91"/>
      <c r="CN104" s="91"/>
      <c r="CO104" s="91"/>
      <c r="CP104" s="91"/>
      <c r="CQ104" s="91"/>
      <c r="CR104" s="91"/>
      <c r="CS104" s="91"/>
      <c r="CT104" s="91"/>
      <c r="CU104" s="91"/>
      <c r="CV104" s="91"/>
      <c r="CW104" s="91"/>
      <c r="CX104" s="91"/>
      <c r="CY104" s="91"/>
      <c r="CZ104" s="91"/>
      <c r="DA104" s="91"/>
      <c r="DB104" s="91"/>
      <c r="DC104" s="91"/>
      <c r="DD104" s="91"/>
      <c r="DE104" s="91"/>
      <c r="DF104" s="91"/>
      <c r="DG104" s="91"/>
      <c r="DH104" s="91"/>
      <c r="DI104" s="91"/>
      <c r="DJ104" s="91"/>
      <c r="DK104" s="91"/>
      <c r="DL104" s="91"/>
      <c r="DM104" s="91"/>
      <c r="DN104" s="91"/>
      <c r="DO104" s="91"/>
      <c r="DP104" s="91"/>
      <c r="DQ104" s="91"/>
      <c r="DR104" s="91"/>
      <c r="DS104" s="91"/>
      <c r="DT104" s="91"/>
      <c r="DU104" s="91"/>
      <c r="DV104" s="91"/>
      <c r="DW104" s="91"/>
      <c r="DX104" s="91"/>
      <c r="DY104" s="91"/>
      <c r="DZ104" s="91"/>
      <c r="EA104" s="91"/>
      <c r="EB104" s="91"/>
      <c r="EC104" s="91"/>
      <c r="ED104" s="91"/>
      <c r="EE104" s="91"/>
      <c r="EF104" s="91"/>
      <c r="EG104" s="91"/>
      <c r="EH104" s="91"/>
      <c r="EI104" s="91"/>
      <c r="EJ104" s="91"/>
      <c r="EK104" s="91"/>
      <c r="EL104" s="91"/>
      <c r="EM104" s="91"/>
      <c r="EN104" s="91"/>
      <c r="EO104" s="91"/>
      <c r="EP104" s="91"/>
      <c r="EQ104" s="91"/>
      <c r="ER104" s="91"/>
      <c r="ES104" s="91"/>
      <c r="ET104" s="91"/>
      <c r="EU104" s="91"/>
      <c r="EV104" s="91"/>
      <c r="EW104" s="91"/>
      <c r="EX104" s="91"/>
      <c r="EY104" s="91"/>
      <c r="EZ104" s="91"/>
      <c r="FA104" s="91"/>
      <c r="FB104" s="91"/>
      <c r="FC104" s="91"/>
      <c r="FD104" s="91"/>
      <c r="FE104" s="91"/>
      <c r="FF104" s="91"/>
      <c r="FG104" s="91"/>
      <c r="FH104" s="91"/>
      <c r="FI104" s="91"/>
      <c r="FJ104" s="91"/>
      <c r="FK104" s="91"/>
      <c r="FL104" s="91"/>
      <c r="FM104" s="91"/>
      <c r="FN104" s="91"/>
      <c r="FO104" s="91"/>
      <c r="FP104" s="91"/>
      <c r="FQ104" s="91"/>
      <c r="FR104" s="91"/>
      <c r="FS104" s="91"/>
      <c r="FT104" s="91"/>
      <c r="FU104" s="91"/>
      <c r="FV104" s="91"/>
      <c r="FW104" s="91"/>
      <c r="FX104" s="91"/>
      <c r="FY104" s="91"/>
      <c r="FZ104" s="91"/>
      <c r="GA104" s="91"/>
      <c r="GB104" s="91"/>
      <c r="GC104" s="91"/>
      <c r="GD104" s="91"/>
      <c r="GE104" s="91"/>
      <c r="GF104" s="91"/>
      <c r="GG104" s="91"/>
      <c r="GH104" s="91"/>
      <c r="GI104" s="91"/>
      <c r="GJ104" s="91"/>
      <c r="GK104" s="91"/>
      <c r="GL104" s="91"/>
      <c r="GM104" s="91"/>
      <c r="GN104" s="91"/>
      <c r="GO104" s="91"/>
      <c r="GP104" s="91"/>
      <c r="GQ104" s="91"/>
      <c r="GR104" s="91"/>
      <c r="GS104" s="91"/>
      <c r="GT104" s="91"/>
      <c r="GU104" s="91"/>
      <c r="GV104" s="91"/>
      <c r="GW104" s="91"/>
      <c r="GX104" s="91"/>
      <c r="GY104" s="91"/>
      <c r="GZ104" s="91"/>
      <c r="HA104" s="91"/>
      <c r="HB104" s="91"/>
      <c r="HC104" s="91"/>
      <c r="HD104" s="91"/>
      <c r="HE104" s="91"/>
      <c r="HF104" s="91"/>
      <c r="HG104" s="91"/>
      <c r="HH104" s="91"/>
      <c r="HI104" s="91"/>
      <c r="HJ104" s="91"/>
      <c r="HK104" s="91"/>
      <c r="HL104" s="91"/>
      <c r="HM104" s="91"/>
      <c r="HN104" s="91"/>
      <c r="HO104" s="91"/>
      <c r="HP104" s="91"/>
      <c r="HQ104" s="91"/>
      <c r="HR104" s="91"/>
      <c r="HS104" s="91"/>
      <c r="HT104" s="91"/>
      <c r="HU104" s="91"/>
      <c r="HV104" s="91"/>
      <c r="HW104" s="91"/>
      <c r="HX104" s="91"/>
      <c r="HY104" s="91"/>
      <c r="HZ104" s="91"/>
      <c r="IA104" s="91"/>
      <c r="IB104" s="91"/>
      <c r="IC104" s="91"/>
      <c r="ID104" s="91"/>
      <c r="IE104" s="91"/>
      <c r="IF104" s="91"/>
      <c r="IG104" s="91"/>
      <c r="IH104" s="91"/>
      <c r="II104" s="91"/>
      <c r="IJ104" s="91"/>
      <c r="IK104" s="91"/>
      <c r="IL104" s="91"/>
      <c r="IM104" s="91"/>
      <c r="IN104" s="91"/>
      <c r="IO104" s="91"/>
      <c r="IP104" s="91"/>
      <c r="IQ104" s="91"/>
      <c r="IR104" s="91"/>
      <c r="IS104" s="91"/>
      <c r="IT104" s="91"/>
      <c r="IU104" s="91"/>
      <c r="IV104" s="91"/>
    </row>
    <row r="105" s="92" customFormat="1" ht="20.1" customHeight="1" spans="1:256">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c r="CV105" s="91"/>
      <c r="CW105" s="91"/>
      <c r="CX105" s="91"/>
      <c r="CY105" s="91"/>
      <c r="CZ105" s="91"/>
      <c r="DA105" s="91"/>
      <c r="DB105" s="91"/>
      <c r="DC105" s="91"/>
      <c r="DD105" s="91"/>
      <c r="DE105" s="91"/>
      <c r="DF105" s="91"/>
      <c r="DG105" s="91"/>
      <c r="DH105" s="91"/>
      <c r="DI105" s="91"/>
      <c r="DJ105" s="91"/>
      <c r="DK105" s="91"/>
      <c r="DL105" s="91"/>
      <c r="DM105" s="91"/>
      <c r="DN105" s="91"/>
      <c r="DO105" s="91"/>
      <c r="DP105" s="91"/>
      <c r="DQ105" s="91"/>
      <c r="DR105" s="91"/>
      <c r="DS105" s="91"/>
      <c r="DT105" s="91"/>
      <c r="DU105" s="91"/>
      <c r="DV105" s="91"/>
      <c r="DW105" s="91"/>
      <c r="DX105" s="91"/>
      <c r="DY105" s="91"/>
      <c r="DZ105" s="91"/>
      <c r="EA105" s="91"/>
      <c r="EB105" s="91"/>
      <c r="EC105" s="91"/>
      <c r="ED105" s="91"/>
      <c r="EE105" s="91"/>
      <c r="EF105" s="91"/>
      <c r="EG105" s="91"/>
      <c r="EH105" s="91"/>
      <c r="EI105" s="91"/>
      <c r="EJ105" s="91"/>
      <c r="EK105" s="91"/>
      <c r="EL105" s="91"/>
      <c r="EM105" s="91"/>
      <c r="EN105" s="91"/>
      <c r="EO105" s="91"/>
      <c r="EP105" s="91"/>
      <c r="EQ105" s="91"/>
      <c r="ER105" s="91"/>
      <c r="ES105" s="91"/>
      <c r="ET105" s="91"/>
      <c r="EU105" s="91"/>
      <c r="EV105" s="91"/>
      <c r="EW105" s="91"/>
      <c r="EX105" s="91"/>
      <c r="EY105" s="91"/>
      <c r="EZ105" s="91"/>
      <c r="FA105" s="91"/>
      <c r="FB105" s="91"/>
      <c r="FC105" s="91"/>
      <c r="FD105" s="91"/>
      <c r="FE105" s="91"/>
      <c r="FF105" s="91"/>
      <c r="FG105" s="91"/>
      <c r="FH105" s="91"/>
      <c r="FI105" s="91"/>
      <c r="FJ105" s="91"/>
      <c r="FK105" s="91"/>
      <c r="FL105" s="91"/>
      <c r="FM105" s="91"/>
      <c r="FN105" s="91"/>
      <c r="FO105" s="91"/>
      <c r="FP105" s="91"/>
      <c r="FQ105" s="91"/>
      <c r="FR105" s="91"/>
      <c r="FS105" s="91"/>
      <c r="FT105" s="91"/>
      <c r="FU105" s="91"/>
      <c r="FV105" s="91"/>
      <c r="FW105" s="91"/>
      <c r="FX105" s="91"/>
      <c r="FY105" s="91"/>
      <c r="FZ105" s="91"/>
      <c r="GA105" s="91"/>
      <c r="GB105" s="91"/>
      <c r="GC105" s="91"/>
      <c r="GD105" s="91"/>
      <c r="GE105" s="91"/>
      <c r="GF105" s="91"/>
      <c r="GG105" s="91"/>
      <c r="GH105" s="91"/>
      <c r="GI105" s="91"/>
      <c r="GJ105" s="91"/>
      <c r="GK105" s="91"/>
      <c r="GL105" s="91"/>
      <c r="GM105" s="91"/>
      <c r="GN105" s="91"/>
      <c r="GO105" s="91"/>
      <c r="GP105" s="91"/>
      <c r="GQ105" s="91"/>
      <c r="GR105" s="91"/>
      <c r="GS105" s="91"/>
      <c r="GT105" s="91"/>
      <c r="GU105" s="91"/>
      <c r="GV105" s="91"/>
      <c r="GW105" s="91"/>
      <c r="GX105" s="91"/>
      <c r="GY105" s="91"/>
      <c r="GZ105" s="91"/>
      <c r="HA105" s="91"/>
      <c r="HB105" s="91"/>
      <c r="HC105" s="91"/>
      <c r="HD105" s="91"/>
      <c r="HE105" s="91"/>
      <c r="HF105" s="91"/>
      <c r="HG105" s="91"/>
      <c r="HH105" s="91"/>
      <c r="HI105" s="91"/>
      <c r="HJ105" s="91"/>
      <c r="HK105" s="91"/>
      <c r="HL105" s="91"/>
      <c r="HM105" s="91"/>
      <c r="HN105" s="91"/>
      <c r="HO105" s="91"/>
      <c r="HP105" s="91"/>
      <c r="HQ105" s="91"/>
      <c r="HR105" s="91"/>
      <c r="HS105" s="91"/>
      <c r="HT105" s="91"/>
      <c r="HU105" s="91"/>
      <c r="HV105" s="91"/>
      <c r="HW105" s="91"/>
      <c r="HX105" s="91"/>
      <c r="HY105" s="91"/>
      <c r="HZ105" s="91"/>
      <c r="IA105" s="91"/>
      <c r="IB105" s="91"/>
      <c r="IC105" s="91"/>
      <c r="ID105" s="91"/>
      <c r="IE105" s="91"/>
      <c r="IF105" s="91"/>
      <c r="IG105" s="91"/>
      <c r="IH105" s="91"/>
      <c r="II105" s="91"/>
      <c r="IJ105" s="91"/>
      <c r="IK105" s="91"/>
      <c r="IL105" s="91"/>
      <c r="IM105" s="91"/>
      <c r="IN105" s="91"/>
      <c r="IO105" s="91"/>
      <c r="IP105" s="91"/>
      <c r="IQ105" s="91"/>
      <c r="IR105" s="91"/>
      <c r="IS105" s="91"/>
      <c r="IT105" s="91"/>
      <c r="IU105" s="91"/>
      <c r="IV105" s="91"/>
    </row>
    <row r="106" s="92" customFormat="1" ht="20.1" customHeight="1" spans="1:256">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c r="EO106" s="91"/>
      <c r="EP106" s="91"/>
      <c r="EQ106" s="91"/>
      <c r="ER106" s="91"/>
      <c r="ES106" s="91"/>
      <c r="ET106" s="91"/>
      <c r="EU106" s="91"/>
      <c r="EV106" s="91"/>
      <c r="EW106" s="91"/>
      <c r="EX106" s="91"/>
      <c r="EY106" s="91"/>
      <c r="EZ106" s="91"/>
      <c r="FA106" s="91"/>
      <c r="FB106" s="91"/>
      <c r="FC106" s="91"/>
      <c r="FD106" s="91"/>
      <c r="FE106" s="91"/>
      <c r="FF106" s="91"/>
      <c r="FG106" s="91"/>
      <c r="FH106" s="91"/>
      <c r="FI106" s="91"/>
      <c r="FJ106" s="91"/>
      <c r="FK106" s="91"/>
      <c r="FL106" s="91"/>
      <c r="FM106" s="91"/>
      <c r="FN106" s="91"/>
      <c r="FO106" s="91"/>
      <c r="FP106" s="91"/>
      <c r="FQ106" s="91"/>
      <c r="FR106" s="91"/>
      <c r="FS106" s="91"/>
      <c r="FT106" s="91"/>
      <c r="FU106" s="91"/>
      <c r="FV106" s="91"/>
      <c r="FW106" s="91"/>
      <c r="FX106" s="91"/>
      <c r="FY106" s="91"/>
      <c r="FZ106" s="91"/>
      <c r="GA106" s="91"/>
      <c r="GB106" s="91"/>
      <c r="GC106" s="91"/>
      <c r="GD106" s="91"/>
      <c r="GE106" s="91"/>
      <c r="GF106" s="91"/>
      <c r="GG106" s="91"/>
      <c r="GH106" s="91"/>
      <c r="GI106" s="91"/>
      <c r="GJ106" s="91"/>
      <c r="GK106" s="91"/>
      <c r="GL106" s="91"/>
      <c r="GM106" s="91"/>
      <c r="GN106" s="91"/>
      <c r="GO106" s="91"/>
      <c r="GP106" s="91"/>
      <c r="GQ106" s="91"/>
      <c r="GR106" s="91"/>
      <c r="GS106" s="91"/>
      <c r="GT106" s="91"/>
      <c r="GU106" s="91"/>
      <c r="GV106" s="91"/>
      <c r="GW106" s="91"/>
      <c r="GX106" s="91"/>
      <c r="GY106" s="91"/>
      <c r="GZ106" s="91"/>
      <c r="HA106" s="91"/>
      <c r="HB106" s="91"/>
      <c r="HC106" s="91"/>
      <c r="HD106" s="91"/>
      <c r="HE106" s="91"/>
      <c r="HF106" s="91"/>
      <c r="HG106" s="91"/>
      <c r="HH106" s="91"/>
      <c r="HI106" s="91"/>
      <c r="HJ106" s="91"/>
      <c r="HK106" s="91"/>
      <c r="HL106" s="91"/>
      <c r="HM106" s="91"/>
      <c r="HN106" s="91"/>
      <c r="HO106" s="91"/>
      <c r="HP106" s="91"/>
      <c r="HQ106" s="91"/>
      <c r="HR106" s="91"/>
      <c r="HS106" s="91"/>
      <c r="HT106" s="91"/>
      <c r="HU106" s="91"/>
      <c r="HV106" s="91"/>
      <c r="HW106" s="91"/>
      <c r="HX106" s="91"/>
      <c r="HY106" s="91"/>
      <c r="HZ106" s="91"/>
      <c r="IA106" s="91"/>
      <c r="IB106" s="91"/>
      <c r="IC106" s="91"/>
      <c r="ID106" s="91"/>
      <c r="IE106" s="91"/>
      <c r="IF106" s="91"/>
      <c r="IG106" s="91"/>
      <c r="IH106" s="91"/>
      <c r="II106" s="91"/>
      <c r="IJ106" s="91"/>
      <c r="IK106" s="91"/>
      <c r="IL106" s="91"/>
      <c r="IM106" s="91"/>
      <c r="IN106" s="91"/>
      <c r="IO106" s="91"/>
      <c r="IP106" s="91"/>
      <c r="IQ106" s="91"/>
      <c r="IR106" s="91"/>
      <c r="IS106" s="91"/>
      <c r="IT106" s="91"/>
      <c r="IU106" s="91"/>
      <c r="IV106" s="91"/>
    </row>
    <row r="107" s="92" customFormat="1" ht="20.1" customHeight="1" spans="1:256">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c r="CV107" s="91"/>
      <c r="CW107" s="91"/>
      <c r="CX107" s="91"/>
      <c r="CY107" s="91"/>
      <c r="CZ107" s="91"/>
      <c r="DA107" s="91"/>
      <c r="DB107" s="91"/>
      <c r="DC107" s="91"/>
      <c r="DD107" s="91"/>
      <c r="DE107" s="91"/>
      <c r="DF107" s="91"/>
      <c r="DG107" s="91"/>
      <c r="DH107" s="91"/>
      <c r="DI107" s="91"/>
      <c r="DJ107" s="91"/>
      <c r="DK107" s="91"/>
      <c r="DL107" s="91"/>
      <c r="DM107" s="91"/>
      <c r="DN107" s="91"/>
      <c r="DO107" s="91"/>
      <c r="DP107" s="91"/>
      <c r="DQ107" s="91"/>
      <c r="DR107" s="91"/>
      <c r="DS107" s="91"/>
      <c r="DT107" s="91"/>
      <c r="DU107" s="91"/>
      <c r="DV107" s="91"/>
      <c r="DW107" s="91"/>
      <c r="DX107" s="91"/>
      <c r="DY107" s="91"/>
      <c r="DZ107" s="91"/>
      <c r="EA107" s="91"/>
      <c r="EB107" s="91"/>
      <c r="EC107" s="91"/>
      <c r="ED107" s="91"/>
      <c r="EE107" s="91"/>
      <c r="EF107" s="91"/>
      <c r="EG107" s="91"/>
      <c r="EH107" s="91"/>
      <c r="EI107" s="91"/>
      <c r="EJ107" s="91"/>
      <c r="EK107" s="91"/>
      <c r="EL107" s="91"/>
      <c r="EM107" s="91"/>
      <c r="EN107" s="91"/>
      <c r="EO107" s="91"/>
      <c r="EP107" s="91"/>
      <c r="EQ107" s="91"/>
      <c r="ER107" s="91"/>
      <c r="ES107" s="91"/>
      <c r="ET107" s="91"/>
      <c r="EU107" s="91"/>
      <c r="EV107" s="91"/>
      <c r="EW107" s="91"/>
      <c r="EX107" s="91"/>
      <c r="EY107" s="91"/>
      <c r="EZ107" s="91"/>
      <c r="FA107" s="91"/>
      <c r="FB107" s="91"/>
      <c r="FC107" s="91"/>
      <c r="FD107" s="91"/>
      <c r="FE107" s="91"/>
      <c r="FF107" s="91"/>
      <c r="FG107" s="91"/>
      <c r="FH107" s="91"/>
      <c r="FI107" s="91"/>
      <c r="FJ107" s="91"/>
      <c r="FK107" s="91"/>
      <c r="FL107" s="91"/>
      <c r="FM107" s="91"/>
      <c r="FN107" s="91"/>
      <c r="FO107" s="91"/>
      <c r="FP107" s="91"/>
      <c r="FQ107" s="91"/>
      <c r="FR107" s="91"/>
      <c r="FS107" s="91"/>
      <c r="FT107" s="91"/>
      <c r="FU107" s="91"/>
      <c r="FV107" s="91"/>
      <c r="FW107" s="91"/>
      <c r="FX107" s="91"/>
      <c r="FY107" s="91"/>
      <c r="FZ107" s="91"/>
      <c r="GA107" s="91"/>
      <c r="GB107" s="91"/>
      <c r="GC107" s="91"/>
      <c r="GD107" s="91"/>
      <c r="GE107" s="91"/>
      <c r="GF107" s="91"/>
      <c r="GG107" s="91"/>
      <c r="GH107" s="91"/>
      <c r="GI107" s="91"/>
      <c r="GJ107" s="91"/>
      <c r="GK107" s="91"/>
      <c r="GL107" s="91"/>
      <c r="GM107" s="91"/>
      <c r="GN107" s="91"/>
      <c r="GO107" s="91"/>
      <c r="GP107" s="91"/>
      <c r="GQ107" s="91"/>
      <c r="GR107" s="91"/>
      <c r="GS107" s="91"/>
      <c r="GT107" s="91"/>
      <c r="GU107" s="91"/>
      <c r="GV107" s="91"/>
      <c r="GW107" s="91"/>
      <c r="GX107" s="91"/>
      <c r="GY107" s="91"/>
      <c r="GZ107" s="91"/>
      <c r="HA107" s="91"/>
      <c r="HB107" s="91"/>
      <c r="HC107" s="91"/>
      <c r="HD107" s="91"/>
      <c r="HE107" s="91"/>
      <c r="HF107" s="91"/>
      <c r="HG107" s="91"/>
      <c r="HH107" s="91"/>
      <c r="HI107" s="91"/>
      <c r="HJ107" s="91"/>
      <c r="HK107" s="91"/>
      <c r="HL107" s="91"/>
      <c r="HM107" s="91"/>
      <c r="HN107" s="91"/>
      <c r="HO107" s="91"/>
      <c r="HP107" s="91"/>
      <c r="HQ107" s="91"/>
      <c r="HR107" s="91"/>
      <c r="HS107" s="91"/>
      <c r="HT107" s="91"/>
      <c r="HU107" s="91"/>
      <c r="HV107" s="91"/>
      <c r="HW107" s="91"/>
      <c r="HX107" s="91"/>
      <c r="HY107" s="91"/>
      <c r="HZ107" s="91"/>
      <c r="IA107" s="91"/>
      <c r="IB107" s="91"/>
      <c r="IC107" s="91"/>
      <c r="ID107" s="91"/>
      <c r="IE107" s="91"/>
      <c r="IF107" s="91"/>
      <c r="IG107" s="91"/>
      <c r="IH107" s="91"/>
      <c r="II107" s="91"/>
      <c r="IJ107" s="91"/>
      <c r="IK107" s="91"/>
      <c r="IL107" s="91"/>
      <c r="IM107" s="91"/>
      <c r="IN107" s="91"/>
      <c r="IO107" s="91"/>
      <c r="IP107" s="91"/>
      <c r="IQ107" s="91"/>
      <c r="IR107" s="91"/>
      <c r="IS107" s="91"/>
      <c r="IT107" s="91"/>
      <c r="IU107" s="91"/>
      <c r="IV107" s="91"/>
    </row>
    <row r="108" s="92" customFormat="1" ht="20.1" customHeight="1" spans="1:256">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c r="DN108" s="91"/>
      <c r="DO108" s="91"/>
      <c r="DP108" s="91"/>
      <c r="DQ108" s="91"/>
      <c r="DR108" s="91"/>
      <c r="DS108" s="91"/>
      <c r="DT108" s="91"/>
      <c r="DU108" s="91"/>
      <c r="DV108" s="91"/>
      <c r="DW108" s="91"/>
      <c r="DX108" s="91"/>
      <c r="DY108" s="91"/>
      <c r="DZ108" s="91"/>
      <c r="EA108" s="91"/>
      <c r="EB108" s="91"/>
      <c r="EC108" s="91"/>
      <c r="ED108" s="91"/>
      <c r="EE108" s="91"/>
      <c r="EF108" s="91"/>
      <c r="EG108" s="91"/>
      <c r="EH108" s="91"/>
      <c r="EI108" s="91"/>
      <c r="EJ108" s="91"/>
      <c r="EK108" s="91"/>
      <c r="EL108" s="91"/>
      <c r="EM108" s="91"/>
      <c r="EN108" s="91"/>
      <c r="EO108" s="91"/>
      <c r="EP108" s="91"/>
      <c r="EQ108" s="91"/>
      <c r="ER108" s="91"/>
      <c r="ES108" s="91"/>
      <c r="ET108" s="91"/>
      <c r="EU108" s="91"/>
      <c r="EV108" s="91"/>
      <c r="EW108" s="91"/>
      <c r="EX108" s="91"/>
      <c r="EY108" s="91"/>
      <c r="EZ108" s="91"/>
      <c r="FA108" s="91"/>
      <c r="FB108" s="91"/>
      <c r="FC108" s="91"/>
      <c r="FD108" s="91"/>
      <c r="FE108" s="91"/>
      <c r="FF108" s="91"/>
      <c r="FG108" s="91"/>
      <c r="FH108" s="91"/>
      <c r="FI108" s="91"/>
      <c r="FJ108" s="91"/>
      <c r="FK108" s="91"/>
      <c r="FL108" s="91"/>
      <c r="FM108" s="91"/>
      <c r="FN108" s="91"/>
      <c r="FO108" s="91"/>
      <c r="FP108" s="91"/>
      <c r="FQ108" s="91"/>
      <c r="FR108" s="91"/>
      <c r="FS108" s="91"/>
      <c r="FT108" s="91"/>
      <c r="FU108" s="91"/>
      <c r="FV108" s="91"/>
      <c r="FW108" s="91"/>
      <c r="FX108" s="91"/>
      <c r="FY108" s="91"/>
      <c r="FZ108" s="91"/>
      <c r="GA108" s="91"/>
      <c r="GB108" s="91"/>
      <c r="GC108" s="91"/>
      <c r="GD108" s="91"/>
      <c r="GE108" s="91"/>
      <c r="GF108" s="91"/>
      <c r="GG108" s="91"/>
      <c r="GH108" s="91"/>
      <c r="GI108" s="91"/>
      <c r="GJ108" s="91"/>
      <c r="GK108" s="91"/>
      <c r="GL108" s="91"/>
      <c r="GM108" s="91"/>
      <c r="GN108" s="91"/>
      <c r="GO108" s="91"/>
      <c r="GP108" s="91"/>
      <c r="GQ108" s="91"/>
      <c r="GR108" s="91"/>
      <c r="GS108" s="91"/>
      <c r="GT108" s="91"/>
      <c r="GU108" s="91"/>
      <c r="GV108" s="91"/>
      <c r="GW108" s="91"/>
      <c r="GX108" s="91"/>
      <c r="GY108" s="91"/>
      <c r="GZ108" s="91"/>
      <c r="HA108" s="91"/>
      <c r="HB108" s="91"/>
      <c r="HC108" s="91"/>
      <c r="HD108" s="91"/>
      <c r="HE108" s="91"/>
      <c r="HF108" s="91"/>
      <c r="HG108" s="91"/>
      <c r="HH108" s="91"/>
      <c r="HI108" s="91"/>
      <c r="HJ108" s="91"/>
      <c r="HK108" s="91"/>
      <c r="HL108" s="91"/>
      <c r="HM108" s="91"/>
      <c r="HN108" s="91"/>
      <c r="HO108" s="91"/>
      <c r="HP108" s="91"/>
      <c r="HQ108" s="91"/>
      <c r="HR108" s="91"/>
      <c r="HS108" s="91"/>
      <c r="HT108" s="91"/>
      <c r="HU108" s="91"/>
      <c r="HV108" s="91"/>
      <c r="HW108" s="91"/>
      <c r="HX108" s="91"/>
      <c r="HY108" s="91"/>
      <c r="HZ108" s="91"/>
      <c r="IA108" s="91"/>
      <c r="IB108" s="91"/>
      <c r="IC108" s="91"/>
      <c r="ID108" s="91"/>
      <c r="IE108" s="91"/>
      <c r="IF108" s="91"/>
      <c r="IG108" s="91"/>
      <c r="IH108" s="91"/>
      <c r="II108" s="91"/>
      <c r="IJ108" s="91"/>
      <c r="IK108" s="91"/>
      <c r="IL108" s="91"/>
      <c r="IM108" s="91"/>
      <c r="IN108" s="91"/>
      <c r="IO108" s="91"/>
      <c r="IP108" s="91"/>
      <c r="IQ108" s="91"/>
      <c r="IR108" s="91"/>
      <c r="IS108" s="91"/>
      <c r="IT108" s="91"/>
      <c r="IU108" s="91"/>
      <c r="IV108" s="91"/>
    </row>
    <row r="109" s="92" customFormat="1" ht="20.1" customHeight="1" spans="1:256">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c r="DN109" s="91"/>
      <c r="DO109" s="91"/>
      <c r="DP109" s="91"/>
      <c r="DQ109" s="91"/>
      <c r="DR109" s="91"/>
      <c r="DS109" s="91"/>
      <c r="DT109" s="91"/>
      <c r="DU109" s="91"/>
      <c r="DV109" s="91"/>
      <c r="DW109" s="91"/>
      <c r="DX109" s="91"/>
      <c r="DY109" s="91"/>
      <c r="DZ109" s="91"/>
      <c r="EA109" s="91"/>
      <c r="EB109" s="91"/>
      <c r="EC109" s="91"/>
      <c r="ED109" s="91"/>
      <c r="EE109" s="91"/>
      <c r="EF109" s="91"/>
      <c r="EG109" s="91"/>
      <c r="EH109" s="91"/>
      <c r="EI109" s="91"/>
      <c r="EJ109" s="91"/>
      <c r="EK109" s="91"/>
      <c r="EL109" s="91"/>
      <c r="EM109" s="91"/>
      <c r="EN109" s="91"/>
      <c r="EO109" s="91"/>
      <c r="EP109" s="91"/>
      <c r="EQ109" s="91"/>
      <c r="ER109" s="91"/>
      <c r="ES109" s="91"/>
      <c r="ET109" s="91"/>
      <c r="EU109" s="91"/>
      <c r="EV109" s="91"/>
      <c r="EW109" s="91"/>
      <c r="EX109" s="91"/>
      <c r="EY109" s="91"/>
      <c r="EZ109" s="91"/>
      <c r="FA109" s="91"/>
      <c r="FB109" s="91"/>
      <c r="FC109" s="91"/>
      <c r="FD109" s="91"/>
      <c r="FE109" s="91"/>
      <c r="FF109" s="91"/>
      <c r="FG109" s="91"/>
      <c r="FH109" s="91"/>
      <c r="FI109" s="91"/>
      <c r="FJ109" s="91"/>
      <c r="FK109" s="91"/>
      <c r="FL109" s="91"/>
      <c r="FM109" s="91"/>
      <c r="FN109" s="91"/>
      <c r="FO109" s="91"/>
      <c r="FP109" s="91"/>
      <c r="FQ109" s="91"/>
      <c r="FR109" s="91"/>
      <c r="FS109" s="91"/>
      <c r="FT109" s="91"/>
      <c r="FU109" s="91"/>
      <c r="FV109" s="91"/>
      <c r="FW109" s="91"/>
      <c r="FX109" s="91"/>
      <c r="FY109" s="91"/>
      <c r="FZ109" s="91"/>
      <c r="GA109" s="91"/>
      <c r="GB109" s="91"/>
      <c r="GC109" s="91"/>
      <c r="GD109" s="91"/>
      <c r="GE109" s="91"/>
      <c r="GF109" s="91"/>
      <c r="GG109" s="91"/>
      <c r="GH109" s="91"/>
      <c r="GI109" s="91"/>
      <c r="GJ109" s="91"/>
      <c r="GK109" s="91"/>
      <c r="GL109" s="91"/>
      <c r="GM109" s="91"/>
      <c r="GN109" s="91"/>
      <c r="GO109" s="91"/>
      <c r="GP109" s="91"/>
      <c r="GQ109" s="91"/>
      <c r="GR109" s="91"/>
      <c r="GS109" s="91"/>
      <c r="GT109" s="91"/>
      <c r="GU109" s="91"/>
      <c r="GV109" s="91"/>
      <c r="GW109" s="91"/>
      <c r="GX109" s="91"/>
      <c r="GY109" s="91"/>
      <c r="GZ109" s="91"/>
      <c r="HA109" s="91"/>
      <c r="HB109" s="91"/>
      <c r="HC109" s="91"/>
      <c r="HD109" s="91"/>
      <c r="HE109" s="91"/>
      <c r="HF109" s="91"/>
      <c r="HG109" s="91"/>
      <c r="HH109" s="91"/>
      <c r="HI109" s="91"/>
      <c r="HJ109" s="91"/>
      <c r="HK109" s="91"/>
      <c r="HL109" s="91"/>
      <c r="HM109" s="91"/>
      <c r="HN109" s="91"/>
      <c r="HO109" s="91"/>
      <c r="HP109" s="91"/>
      <c r="HQ109" s="91"/>
      <c r="HR109" s="91"/>
      <c r="HS109" s="91"/>
      <c r="HT109" s="91"/>
      <c r="HU109" s="91"/>
      <c r="HV109" s="91"/>
      <c r="HW109" s="91"/>
      <c r="HX109" s="91"/>
      <c r="HY109" s="91"/>
      <c r="HZ109" s="91"/>
      <c r="IA109" s="91"/>
      <c r="IB109" s="91"/>
      <c r="IC109" s="91"/>
      <c r="ID109" s="91"/>
      <c r="IE109" s="91"/>
      <c r="IF109" s="91"/>
      <c r="IG109" s="91"/>
      <c r="IH109" s="91"/>
      <c r="II109" s="91"/>
      <c r="IJ109" s="91"/>
      <c r="IK109" s="91"/>
      <c r="IL109" s="91"/>
      <c r="IM109" s="91"/>
      <c r="IN109" s="91"/>
      <c r="IO109" s="91"/>
      <c r="IP109" s="91"/>
      <c r="IQ109" s="91"/>
      <c r="IR109" s="91"/>
      <c r="IS109" s="91"/>
      <c r="IT109" s="91"/>
      <c r="IU109" s="91"/>
      <c r="IV109" s="91"/>
    </row>
    <row r="110" s="92" customFormat="1" ht="20.1" customHeight="1" spans="1:256">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X110" s="91"/>
      <c r="BY110" s="91"/>
      <c r="BZ110" s="91"/>
      <c r="CA110" s="91"/>
      <c r="CB110" s="91"/>
      <c r="CC110" s="91"/>
      <c r="CD110" s="91"/>
      <c r="CE110" s="91"/>
      <c r="CF110" s="91"/>
      <c r="CG110" s="91"/>
      <c r="CH110" s="91"/>
      <c r="CI110" s="91"/>
      <c r="CJ110" s="91"/>
      <c r="CK110" s="91"/>
      <c r="CL110" s="91"/>
      <c r="CM110" s="91"/>
      <c r="CN110" s="91"/>
      <c r="CO110" s="91"/>
      <c r="CP110" s="91"/>
      <c r="CQ110" s="91"/>
      <c r="CR110" s="91"/>
      <c r="CS110" s="91"/>
      <c r="CT110" s="91"/>
      <c r="CU110" s="91"/>
      <c r="CV110" s="91"/>
      <c r="CW110" s="91"/>
      <c r="CX110" s="91"/>
      <c r="CY110" s="91"/>
      <c r="CZ110" s="91"/>
      <c r="DA110" s="91"/>
      <c r="DB110" s="91"/>
      <c r="DC110" s="91"/>
      <c r="DD110" s="91"/>
      <c r="DE110" s="91"/>
      <c r="DF110" s="91"/>
      <c r="DG110" s="91"/>
      <c r="DH110" s="91"/>
      <c r="DI110" s="91"/>
      <c r="DJ110" s="91"/>
      <c r="DK110" s="91"/>
      <c r="DL110" s="91"/>
      <c r="DM110" s="91"/>
      <c r="DN110" s="91"/>
      <c r="DO110" s="91"/>
      <c r="DP110" s="91"/>
      <c r="DQ110" s="91"/>
      <c r="DR110" s="91"/>
      <c r="DS110" s="91"/>
      <c r="DT110" s="91"/>
      <c r="DU110" s="91"/>
      <c r="DV110" s="91"/>
      <c r="DW110" s="91"/>
      <c r="DX110" s="91"/>
      <c r="DY110" s="91"/>
      <c r="DZ110" s="91"/>
      <c r="EA110" s="91"/>
      <c r="EB110" s="91"/>
      <c r="EC110" s="91"/>
      <c r="ED110" s="91"/>
      <c r="EE110" s="91"/>
      <c r="EF110" s="91"/>
      <c r="EG110" s="91"/>
      <c r="EH110" s="91"/>
      <c r="EI110" s="91"/>
      <c r="EJ110" s="91"/>
      <c r="EK110" s="91"/>
      <c r="EL110" s="91"/>
      <c r="EM110" s="91"/>
      <c r="EN110" s="91"/>
      <c r="EO110" s="91"/>
      <c r="EP110" s="91"/>
      <c r="EQ110" s="91"/>
      <c r="ER110" s="91"/>
      <c r="ES110" s="91"/>
      <c r="ET110" s="91"/>
      <c r="EU110" s="91"/>
      <c r="EV110" s="91"/>
      <c r="EW110" s="91"/>
      <c r="EX110" s="91"/>
      <c r="EY110" s="91"/>
      <c r="EZ110" s="91"/>
      <c r="FA110" s="91"/>
      <c r="FB110" s="91"/>
      <c r="FC110" s="91"/>
      <c r="FD110" s="91"/>
      <c r="FE110" s="91"/>
      <c r="FF110" s="91"/>
      <c r="FG110" s="91"/>
      <c r="FH110" s="91"/>
      <c r="FI110" s="91"/>
      <c r="FJ110" s="91"/>
      <c r="FK110" s="91"/>
      <c r="FL110" s="91"/>
      <c r="FM110" s="91"/>
      <c r="FN110" s="91"/>
      <c r="FO110" s="91"/>
      <c r="FP110" s="91"/>
      <c r="FQ110" s="91"/>
      <c r="FR110" s="91"/>
      <c r="FS110" s="91"/>
      <c r="FT110" s="91"/>
      <c r="FU110" s="91"/>
      <c r="FV110" s="91"/>
      <c r="FW110" s="91"/>
      <c r="FX110" s="91"/>
      <c r="FY110" s="91"/>
      <c r="FZ110" s="91"/>
      <c r="GA110" s="91"/>
      <c r="GB110" s="91"/>
      <c r="GC110" s="91"/>
      <c r="GD110" s="91"/>
      <c r="GE110" s="91"/>
      <c r="GF110" s="91"/>
      <c r="GG110" s="91"/>
      <c r="GH110" s="91"/>
      <c r="GI110" s="91"/>
      <c r="GJ110" s="91"/>
      <c r="GK110" s="91"/>
      <c r="GL110" s="91"/>
      <c r="GM110" s="91"/>
      <c r="GN110" s="91"/>
      <c r="GO110" s="91"/>
      <c r="GP110" s="91"/>
      <c r="GQ110" s="91"/>
      <c r="GR110" s="91"/>
      <c r="GS110" s="91"/>
      <c r="GT110" s="91"/>
      <c r="GU110" s="91"/>
      <c r="GV110" s="91"/>
      <c r="GW110" s="91"/>
      <c r="GX110" s="91"/>
      <c r="GY110" s="91"/>
      <c r="GZ110" s="91"/>
      <c r="HA110" s="91"/>
      <c r="HB110" s="91"/>
      <c r="HC110" s="91"/>
      <c r="HD110" s="91"/>
      <c r="HE110" s="91"/>
      <c r="HF110" s="91"/>
      <c r="HG110" s="91"/>
      <c r="HH110" s="91"/>
      <c r="HI110" s="91"/>
      <c r="HJ110" s="91"/>
      <c r="HK110" s="91"/>
      <c r="HL110" s="91"/>
      <c r="HM110" s="91"/>
      <c r="HN110" s="91"/>
      <c r="HO110" s="91"/>
      <c r="HP110" s="91"/>
      <c r="HQ110" s="91"/>
      <c r="HR110" s="91"/>
      <c r="HS110" s="91"/>
      <c r="HT110" s="91"/>
      <c r="HU110" s="91"/>
      <c r="HV110" s="91"/>
      <c r="HW110" s="91"/>
      <c r="HX110" s="91"/>
      <c r="HY110" s="91"/>
      <c r="HZ110" s="91"/>
      <c r="IA110" s="91"/>
      <c r="IB110" s="91"/>
      <c r="IC110" s="91"/>
      <c r="ID110" s="91"/>
      <c r="IE110" s="91"/>
      <c r="IF110" s="91"/>
      <c r="IG110" s="91"/>
      <c r="IH110" s="91"/>
      <c r="II110" s="91"/>
      <c r="IJ110" s="91"/>
      <c r="IK110" s="91"/>
      <c r="IL110" s="91"/>
      <c r="IM110" s="91"/>
      <c r="IN110" s="91"/>
      <c r="IO110" s="91"/>
      <c r="IP110" s="91"/>
      <c r="IQ110" s="91"/>
      <c r="IR110" s="91"/>
      <c r="IS110" s="91"/>
      <c r="IT110" s="91"/>
      <c r="IU110" s="91"/>
      <c r="IV110" s="91"/>
    </row>
    <row r="111" s="92" customFormat="1" ht="20.1" customHeight="1" spans="1:256">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CZ111" s="91"/>
      <c r="DA111" s="91"/>
      <c r="DB111" s="91"/>
      <c r="DC111" s="91"/>
      <c r="DD111" s="91"/>
      <c r="DE111" s="91"/>
      <c r="DF111" s="91"/>
      <c r="DG111" s="91"/>
      <c r="DH111" s="91"/>
      <c r="DI111" s="91"/>
      <c r="DJ111" s="91"/>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91"/>
      <c r="ET111" s="91"/>
      <c r="EU111" s="91"/>
      <c r="EV111" s="91"/>
      <c r="EW111" s="91"/>
      <c r="EX111" s="91"/>
      <c r="EY111" s="91"/>
      <c r="EZ111" s="91"/>
      <c r="FA111" s="91"/>
      <c r="FB111" s="91"/>
      <c r="FC111" s="91"/>
      <c r="FD111" s="91"/>
      <c r="FE111" s="91"/>
      <c r="FF111" s="91"/>
      <c r="FG111" s="91"/>
      <c r="FH111" s="91"/>
      <c r="FI111" s="91"/>
      <c r="FJ111" s="91"/>
      <c r="FK111" s="91"/>
      <c r="FL111" s="91"/>
      <c r="FM111" s="91"/>
      <c r="FN111" s="91"/>
      <c r="FO111" s="91"/>
      <c r="FP111" s="91"/>
      <c r="FQ111" s="91"/>
      <c r="FR111" s="91"/>
      <c r="FS111" s="91"/>
      <c r="FT111" s="91"/>
      <c r="FU111" s="91"/>
      <c r="FV111" s="91"/>
      <c r="FW111" s="91"/>
      <c r="FX111" s="91"/>
      <c r="FY111" s="91"/>
      <c r="FZ111" s="91"/>
      <c r="GA111" s="91"/>
      <c r="GB111" s="91"/>
      <c r="GC111" s="91"/>
      <c r="GD111" s="91"/>
      <c r="GE111" s="91"/>
      <c r="GF111" s="91"/>
      <c r="GG111" s="91"/>
      <c r="GH111" s="91"/>
      <c r="GI111" s="91"/>
      <c r="GJ111" s="91"/>
      <c r="GK111" s="91"/>
      <c r="GL111" s="91"/>
      <c r="GM111" s="91"/>
      <c r="GN111" s="91"/>
      <c r="GO111" s="91"/>
      <c r="GP111" s="91"/>
      <c r="GQ111" s="91"/>
      <c r="GR111" s="91"/>
      <c r="GS111" s="91"/>
      <c r="GT111" s="91"/>
      <c r="GU111" s="91"/>
      <c r="GV111" s="91"/>
      <c r="GW111" s="91"/>
      <c r="GX111" s="91"/>
      <c r="GY111" s="91"/>
      <c r="GZ111" s="91"/>
      <c r="HA111" s="91"/>
      <c r="HB111" s="91"/>
      <c r="HC111" s="91"/>
      <c r="HD111" s="91"/>
      <c r="HE111" s="91"/>
      <c r="HF111" s="91"/>
      <c r="HG111" s="91"/>
      <c r="HH111" s="91"/>
      <c r="HI111" s="91"/>
      <c r="HJ111" s="91"/>
      <c r="HK111" s="91"/>
      <c r="HL111" s="91"/>
      <c r="HM111" s="91"/>
      <c r="HN111" s="91"/>
      <c r="HO111" s="91"/>
      <c r="HP111" s="91"/>
      <c r="HQ111" s="91"/>
      <c r="HR111" s="91"/>
      <c r="HS111" s="91"/>
      <c r="HT111" s="91"/>
      <c r="HU111" s="91"/>
      <c r="HV111" s="91"/>
      <c r="HW111" s="91"/>
      <c r="HX111" s="91"/>
      <c r="HY111" s="91"/>
      <c r="HZ111" s="91"/>
      <c r="IA111" s="91"/>
      <c r="IB111" s="91"/>
      <c r="IC111" s="91"/>
      <c r="ID111" s="91"/>
      <c r="IE111" s="91"/>
      <c r="IF111" s="91"/>
      <c r="IG111" s="91"/>
      <c r="IH111" s="91"/>
      <c r="II111" s="91"/>
      <c r="IJ111" s="91"/>
      <c r="IK111" s="91"/>
      <c r="IL111" s="91"/>
      <c r="IM111" s="91"/>
      <c r="IN111" s="91"/>
      <c r="IO111" s="91"/>
      <c r="IP111" s="91"/>
      <c r="IQ111" s="91"/>
      <c r="IR111" s="91"/>
      <c r="IS111" s="91"/>
      <c r="IT111" s="91"/>
      <c r="IU111" s="91"/>
      <c r="IV111" s="91"/>
    </row>
    <row r="112" s="92" customFormat="1" ht="20.1" customHeight="1" spans="1:256">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c r="CV112" s="91"/>
      <c r="CW112" s="91"/>
      <c r="CX112" s="91"/>
      <c r="CY112" s="91"/>
      <c r="CZ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91"/>
      <c r="ET112" s="91"/>
      <c r="EU112" s="91"/>
      <c r="EV112" s="91"/>
      <c r="EW112" s="91"/>
      <c r="EX112" s="91"/>
      <c r="EY112" s="91"/>
      <c r="EZ112" s="91"/>
      <c r="FA112" s="91"/>
      <c r="FB112" s="91"/>
      <c r="FC112" s="91"/>
      <c r="FD112" s="91"/>
      <c r="FE112" s="91"/>
      <c r="FF112" s="91"/>
      <c r="FG112" s="91"/>
      <c r="FH112" s="91"/>
      <c r="FI112" s="91"/>
      <c r="FJ112" s="91"/>
      <c r="FK112" s="91"/>
      <c r="FL112" s="91"/>
      <c r="FM112" s="91"/>
      <c r="FN112" s="91"/>
      <c r="FO112" s="91"/>
      <c r="FP112" s="91"/>
      <c r="FQ112" s="91"/>
      <c r="FR112" s="91"/>
      <c r="FS112" s="91"/>
      <c r="FT112" s="91"/>
      <c r="FU112" s="91"/>
      <c r="FV112" s="91"/>
      <c r="FW112" s="91"/>
      <c r="FX112" s="91"/>
      <c r="FY112" s="91"/>
      <c r="FZ112" s="91"/>
      <c r="GA112" s="91"/>
      <c r="GB112" s="91"/>
      <c r="GC112" s="91"/>
      <c r="GD112" s="91"/>
      <c r="GE112" s="91"/>
      <c r="GF112" s="91"/>
      <c r="GG112" s="91"/>
      <c r="GH112" s="91"/>
      <c r="GI112" s="91"/>
      <c r="GJ112" s="91"/>
      <c r="GK112" s="91"/>
      <c r="GL112" s="91"/>
      <c r="GM112" s="91"/>
      <c r="GN112" s="91"/>
      <c r="GO112" s="91"/>
      <c r="GP112" s="91"/>
      <c r="GQ112" s="91"/>
      <c r="GR112" s="91"/>
      <c r="GS112" s="91"/>
      <c r="GT112" s="91"/>
      <c r="GU112" s="91"/>
      <c r="GV112" s="91"/>
      <c r="GW112" s="91"/>
      <c r="GX112" s="91"/>
      <c r="GY112" s="91"/>
      <c r="GZ112" s="91"/>
      <c r="HA112" s="91"/>
      <c r="HB112" s="91"/>
      <c r="HC112" s="91"/>
      <c r="HD112" s="91"/>
      <c r="HE112" s="91"/>
      <c r="HF112" s="91"/>
      <c r="HG112" s="91"/>
      <c r="HH112" s="91"/>
      <c r="HI112" s="91"/>
      <c r="HJ112" s="91"/>
      <c r="HK112" s="91"/>
      <c r="HL112" s="91"/>
      <c r="HM112" s="91"/>
      <c r="HN112" s="91"/>
      <c r="HO112" s="91"/>
      <c r="HP112" s="91"/>
      <c r="HQ112" s="91"/>
      <c r="HR112" s="91"/>
      <c r="HS112" s="91"/>
      <c r="HT112" s="91"/>
      <c r="HU112" s="91"/>
      <c r="HV112" s="91"/>
      <c r="HW112" s="91"/>
      <c r="HX112" s="91"/>
      <c r="HY112" s="91"/>
      <c r="HZ112" s="91"/>
      <c r="IA112" s="91"/>
      <c r="IB112" s="91"/>
      <c r="IC112" s="91"/>
      <c r="ID112" s="91"/>
      <c r="IE112" s="91"/>
      <c r="IF112" s="91"/>
      <c r="IG112" s="91"/>
      <c r="IH112" s="91"/>
      <c r="II112" s="91"/>
      <c r="IJ112" s="91"/>
      <c r="IK112" s="91"/>
      <c r="IL112" s="91"/>
      <c r="IM112" s="91"/>
      <c r="IN112" s="91"/>
      <c r="IO112" s="91"/>
      <c r="IP112" s="91"/>
      <c r="IQ112" s="91"/>
      <c r="IR112" s="91"/>
      <c r="IS112" s="91"/>
      <c r="IT112" s="91"/>
      <c r="IU112" s="91"/>
      <c r="IV112" s="91"/>
    </row>
    <row r="113" s="92" customFormat="1" ht="20.1" customHeight="1" spans="1:256">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c r="CV113" s="91"/>
      <c r="CW113" s="91"/>
      <c r="CX113" s="91"/>
      <c r="CY113" s="91"/>
      <c r="CZ113" s="91"/>
      <c r="DA113" s="91"/>
      <c r="DB113" s="91"/>
      <c r="DC113" s="91"/>
      <c r="DD113" s="91"/>
      <c r="DE113" s="91"/>
      <c r="DF113" s="91"/>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91"/>
      <c r="EQ113" s="91"/>
      <c r="ER113" s="91"/>
      <c r="ES113" s="91"/>
      <c r="ET113" s="91"/>
      <c r="EU113" s="91"/>
      <c r="EV113" s="91"/>
      <c r="EW113" s="91"/>
      <c r="EX113" s="91"/>
      <c r="EY113" s="91"/>
      <c r="EZ113" s="91"/>
      <c r="FA113" s="91"/>
      <c r="FB113" s="91"/>
      <c r="FC113" s="91"/>
      <c r="FD113" s="91"/>
      <c r="FE113" s="91"/>
      <c r="FF113" s="91"/>
      <c r="FG113" s="91"/>
      <c r="FH113" s="91"/>
      <c r="FI113" s="91"/>
      <c r="FJ113" s="91"/>
      <c r="FK113" s="91"/>
      <c r="FL113" s="91"/>
      <c r="FM113" s="91"/>
      <c r="FN113" s="91"/>
      <c r="FO113" s="91"/>
      <c r="FP113" s="91"/>
      <c r="FQ113" s="91"/>
      <c r="FR113" s="91"/>
      <c r="FS113" s="91"/>
      <c r="FT113" s="91"/>
      <c r="FU113" s="91"/>
      <c r="FV113" s="91"/>
      <c r="FW113" s="91"/>
      <c r="FX113" s="91"/>
      <c r="FY113" s="91"/>
      <c r="FZ113" s="91"/>
      <c r="GA113" s="91"/>
      <c r="GB113" s="91"/>
      <c r="GC113" s="91"/>
      <c r="GD113" s="91"/>
      <c r="GE113" s="91"/>
      <c r="GF113" s="91"/>
      <c r="GG113" s="91"/>
      <c r="GH113" s="91"/>
      <c r="GI113" s="91"/>
      <c r="GJ113" s="91"/>
      <c r="GK113" s="91"/>
      <c r="GL113" s="91"/>
      <c r="GM113" s="91"/>
      <c r="GN113" s="91"/>
      <c r="GO113" s="91"/>
      <c r="GP113" s="91"/>
      <c r="GQ113" s="91"/>
      <c r="GR113" s="91"/>
      <c r="GS113" s="91"/>
      <c r="GT113" s="91"/>
      <c r="GU113" s="91"/>
      <c r="GV113" s="91"/>
      <c r="GW113" s="91"/>
      <c r="GX113" s="91"/>
      <c r="GY113" s="91"/>
      <c r="GZ113" s="91"/>
      <c r="HA113" s="91"/>
      <c r="HB113" s="91"/>
      <c r="HC113" s="91"/>
      <c r="HD113" s="91"/>
      <c r="HE113" s="91"/>
      <c r="HF113" s="91"/>
      <c r="HG113" s="91"/>
      <c r="HH113" s="91"/>
      <c r="HI113" s="91"/>
      <c r="HJ113" s="91"/>
      <c r="HK113" s="91"/>
      <c r="HL113" s="91"/>
      <c r="HM113" s="91"/>
      <c r="HN113" s="91"/>
      <c r="HO113" s="91"/>
      <c r="HP113" s="91"/>
      <c r="HQ113" s="91"/>
      <c r="HR113" s="91"/>
      <c r="HS113" s="91"/>
      <c r="HT113" s="91"/>
      <c r="HU113" s="91"/>
      <c r="HV113" s="91"/>
      <c r="HW113" s="91"/>
      <c r="HX113" s="91"/>
      <c r="HY113" s="91"/>
      <c r="HZ113" s="91"/>
      <c r="IA113" s="91"/>
      <c r="IB113" s="91"/>
      <c r="IC113" s="91"/>
      <c r="ID113" s="91"/>
      <c r="IE113" s="91"/>
      <c r="IF113" s="91"/>
      <c r="IG113" s="91"/>
      <c r="IH113" s="91"/>
      <c r="II113" s="91"/>
      <c r="IJ113" s="91"/>
      <c r="IK113" s="91"/>
      <c r="IL113" s="91"/>
      <c r="IM113" s="91"/>
      <c r="IN113" s="91"/>
      <c r="IO113" s="91"/>
      <c r="IP113" s="91"/>
      <c r="IQ113" s="91"/>
      <c r="IR113" s="91"/>
      <c r="IS113" s="91"/>
      <c r="IT113" s="91"/>
      <c r="IU113" s="91"/>
      <c r="IV113" s="91"/>
    </row>
    <row r="114" s="92" customFormat="1" ht="20.1" customHeight="1" spans="1:256">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c r="CV114" s="91"/>
      <c r="CW114" s="91"/>
      <c r="CX114" s="91"/>
      <c r="CY114" s="91"/>
      <c r="CZ114" s="91"/>
      <c r="DA114" s="91"/>
      <c r="DB114" s="91"/>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91"/>
      <c r="EQ114" s="91"/>
      <c r="ER114" s="91"/>
      <c r="ES114" s="91"/>
      <c r="ET114" s="91"/>
      <c r="EU114" s="91"/>
      <c r="EV114" s="91"/>
      <c r="EW114" s="91"/>
      <c r="EX114" s="91"/>
      <c r="EY114" s="91"/>
      <c r="EZ114" s="91"/>
      <c r="FA114" s="91"/>
      <c r="FB114" s="91"/>
      <c r="FC114" s="91"/>
      <c r="FD114" s="91"/>
      <c r="FE114" s="91"/>
      <c r="FF114" s="91"/>
      <c r="FG114" s="91"/>
      <c r="FH114" s="91"/>
      <c r="FI114" s="91"/>
      <c r="FJ114" s="91"/>
      <c r="FK114" s="91"/>
      <c r="FL114" s="91"/>
      <c r="FM114" s="91"/>
      <c r="FN114" s="91"/>
      <c r="FO114" s="91"/>
      <c r="FP114" s="91"/>
      <c r="FQ114" s="91"/>
      <c r="FR114" s="91"/>
      <c r="FS114" s="91"/>
      <c r="FT114" s="91"/>
      <c r="FU114" s="91"/>
      <c r="FV114" s="91"/>
      <c r="FW114" s="91"/>
      <c r="FX114" s="91"/>
      <c r="FY114" s="91"/>
      <c r="FZ114" s="91"/>
      <c r="GA114" s="91"/>
      <c r="GB114" s="91"/>
      <c r="GC114" s="91"/>
      <c r="GD114" s="91"/>
      <c r="GE114" s="91"/>
      <c r="GF114" s="91"/>
      <c r="GG114" s="91"/>
      <c r="GH114" s="91"/>
      <c r="GI114" s="91"/>
      <c r="GJ114" s="91"/>
      <c r="GK114" s="91"/>
      <c r="GL114" s="91"/>
      <c r="GM114" s="91"/>
      <c r="GN114" s="91"/>
      <c r="GO114" s="91"/>
      <c r="GP114" s="91"/>
      <c r="GQ114" s="91"/>
      <c r="GR114" s="91"/>
      <c r="GS114" s="91"/>
      <c r="GT114" s="91"/>
      <c r="GU114" s="91"/>
      <c r="GV114" s="91"/>
      <c r="GW114" s="91"/>
      <c r="GX114" s="91"/>
      <c r="GY114" s="91"/>
      <c r="GZ114" s="91"/>
      <c r="HA114" s="91"/>
      <c r="HB114" s="91"/>
      <c r="HC114" s="91"/>
      <c r="HD114" s="91"/>
      <c r="HE114" s="91"/>
      <c r="HF114" s="91"/>
      <c r="HG114" s="91"/>
      <c r="HH114" s="91"/>
      <c r="HI114" s="91"/>
      <c r="HJ114" s="91"/>
      <c r="HK114" s="91"/>
      <c r="HL114" s="91"/>
      <c r="HM114" s="91"/>
      <c r="HN114" s="91"/>
      <c r="HO114" s="91"/>
      <c r="HP114" s="91"/>
      <c r="HQ114" s="91"/>
      <c r="HR114" s="91"/>
      <c r="HS114" s="91"/>
      <c r="HT114" s="91"/>
      <c r="HU114" s="91"/>
      <c r="HV114" s="91"/>
      <c r="HW114" s="91"/>
      <c r="HX114" s="91"/>
      <c r="HY114" s="91"/>
      <c r="HZ114" s="91"/>
      <c r="IA114" s="91"/>
      <c r="IB114" s="91"/>
      <c r="IC114" s="91"/>
      <c r="ID114" s="91"/>
      <c r="IE114" s="91"/>
      <c r="IF114" s="91"/>
      <c r="IG114" s="91"/>
      <c r="IH114" s="91"/>
      <c r="II114" s="91"/>
      <c r="IJ114" s="91"/>
      <c r="IK114" s="91"/>
      <c r="IL114" s="91"/>
      <c r="IM114" s="91"/>
      <c r="IN114" s="91"/>
      <c r="IO114" s="91"/>
      <c r="IP114" s="91"/>
      <c r="IQ114" s="91"/>
      <c r="IR114" s="91"/>
      <c r="IS114" s="91"/>
      <c r="IT114" s="91"/>
      <c r="IU114" s="91"/>
      <c r="IV114" s="91"/>
    </row>
    <row r="115" s="92" customFormat="1" ht="20.1" customHeight="1" spans="1:256">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c r="CV115" s="91"/>
      <c r="CW115" s="91"/>
      <c r="CX115" s="91"/>
      <c r="CY115" s="91"/>
      <c r="CZ115" s="91"/>
      <c r="DA115" s="91"/>
      <c r="DB115" s="91"/>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c r="ED115" s="91"/>
      <c r="EE115" s="91"/>
      <c r="EF115" s="91"/>
      <c r="EG115" s="91"/>
      <c r="EH115" s="91"/>
      <c r="EI115" s="91"/>
      <c r="EJ115" s="91"/>
      <c r="EK115" s="91"/>
      <c r="EL115" s="91"/>
      <c r="EM115" s="91"/>
      <c r="EN115" s="91"/>
      <c r="EO115" s="91"/>
      <c r="EP115" s="91"/>
      <c r="EQ115" s="91"/>
      <c r="ER115" s="91"/>
      <c r="ES115" s="91"/>
      <c r="ET115" s="91"/>
      <c r="EU115" s="91"/>
      <c r="EV115" s="91"/>
      <c r="EW115" s="91"/>
      <c r="EX115" s="91"/>
      <c r="EY115" s="91"/>
      <c r="EZ115" s="91"/>
      <c r="FA115" s="91"/>
      <c r="FB115" s="91"/>
      <c r="FC115" s="91"/>
      <c r="FD115" s="91"/>
      <c r="FE115" s="91"/>
      <c r="FF115" s="91"/>
      <c r="FG115" s="91"/>
      <c r="FH115" s="91"/>
      <c r="FI115" s="91"/>
      <c r="FJ115" s="91"/>
      <c r="FK115" s="91"/>
      <c r="FL115" s="91"/>
      <c r="FM115" s="91"/>
      <c r="FN115" s="91"/>
      <c r="FO115" s="91"/>
      <c r="FP115" s="91"/>
      <c r="FQ115" s="91"/>
      <c r="FR115" s="91"/>
      <c r="FS115" s="91"/>
      <c r="FT115" s="91"/>
      <c r="FU115" s="91"/>
      <c r="FV115" s="91"/>
      <c r="FW115" s="91"/>
      <c r="FX115" s="91"/>
      <c r="FY115" s="91"/>
      <c r="FZ115" s="91"/>
      <c r="GA115" s="91"/>
      <c r="GB115" s="91"/>
      <c r="GC115" s="91"/>
      <c r="GD115" s="91"/>
      <c r="GE115" s="91"/>
      <c r="GF115" s="91"/>
      <c r="GG115" s="91"/>
      <c r="GH115" s="91"/>
      <c r="GI115" s="91"/>
      <c r="GJ115" s="91"/>
      <c r="GK115" s="91"/>
      <c r="GL115" s="91"/>
      <c r="GM115" s="91"/>
      <c r="GN115" s="91"/>
      <c r="GO115" s="91"/>
      <c r="GP115" s="91"/>
      <c r="GQ115" s="91"/>
      <c r="GR115" s="91"/>
      <c r="GS115" s="91"/>
      <c r="GT115" s="91"/>
      <c r="GU115" s="91"/>
      <c r="GV115" s="91"/>
      <c r="GW115" s="91"/>
      <c r="GX115" s="91"/>
      <c r="GY115" s="91"/>
      <c r="GZ115" s="91"/>
      <c r="HA115" s="91"/>
      <c r="HB115" s="91"/>
      <c r="HC115" s="91"/>
      <c r="HD115" s="91"/>
      <c r="HE115" s="91"/>
      <c r="HF115" s="91"/>
      <c r="HG115" s="91"/>
      <c r="HH115" s="91"/>
      <c r="HI115" s="91"/>
      <c r="HJ115" s="91"/>
      <c r="HK115" s="91"/>
      <c r="HL115" s="91"/>
      <c r="HM115" s="91"/>
      <c r="HN115" s="91"/>
      <c r="HO115" s="91"/>
      <c r="HP115" s="91"/>
      <c r="HQ115" s="91"/>
      <c r="HR115" s="91"/>
      <c r="HS115" s="91"/>
      <c r="HT115" s="91"/>
      <c r="HU115" s="91"/>
      <c r="HV115" s="91"/>
      <c r="HW115" s="91"/>
      <c r="HX115" s="91"/>
      <c r="HY115" s="91"/>
      <c r="HZ115" s="91"/>
      <c r="IA115" s="91"/>
      <c r="IB115" s="91"/>
      <c r="IC115" s="91"/>
      <c r="ID115" s="91"/>
      <c r="IE115" s="91"/>
      <c r="IF115" s="91"/>
      <c r="IG115" s="91"/>
      <c r="IH115" s="91"/>
      <c r="II115" s="91"/>
      <c r="IJ115" s="91"/>
      <c r="IK115" s="91"/>
      <c r="IL115" s="91"/>
      <c r="IM115" s="91"/>
      <c r="IN115" s="91"/>
      <c r="IO115" s="91"/>
      <c r="IP115" s="91"/>
      <c r="IQ115" s="91"/>
      <c r="IR115" s="91"/>
      <c r="IS115" s="91"/>
      <c r="IT115" s="91"/>
      <c r="IU115" s="91"/>
      <c r="IV115" s="91"/>
    </row>
    <row r="116" s="92" customFormat="1" ht="20.1" customHeight="1" spans="1:25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c r="CV116" s="91"/>
      <c r="CW116" s="91"/>
      <c r="CX116" s="91"/>
      <c r="CY116" s="91"/>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c r="ED116" s="91"/>
      <c r="EE116" s="91"/>
      <c r="EF116" s="91"/>
      <c r="EG116" s="91"/>
      <c r="EH116" s="91"/>
      <c r="EI116" s="91"/>
      <c r="EJ116" s="91"/>
      <c r="EK116" s="91"/>
      <c r="EL116" s="91"/>
      <c r="EM116" s="91"/>
      <c r="EN116" s="91"/>
      <c r="EO116" s="91"/>
      <c r="EP116" s="91"/>
      <c r="EQ116" s="91"/>
      <c r="ER116" s="91"/>
      <c r="ES116" s="91"/>
      <c r="ET116" s="91"/>
      <c r="EU116" s="91"/>
      <c r="EV116" s="91"/>
      <c r="EW116" s="91"/>
      <c r="EX116" s="91"/>
      <c r="EY116" s="91"/>
      <c r="EZ116" s="91"/>
      <c r="FA116" s="91"/>
      <c r="FB116" s="91"/>
      <c r="FC116" s="91"/>
      <c r="FD116" s="91"/>
      <c r="FE116" s="91"/>
      <c r="FF116" s="91"/>
      <c r="FG116" s="91"/>
      <c r="FH116" s="91"/>
      <c r="FI116" s="91"/>
      <c r="FJ116" s="91"/>
      <c r="FK116" s="91"/>
      <c r="FL116" s="91"/>
      <c r="FM116" s="91"/>
      <c r="FN116" s="91"/>
      <c r="FO116" s="91"/>
      <c r="FP116" s="91"/>
      <c r="FQ116" s="91"/>
      <c r="FR116" s="91"/>
      <c r="FS116" s="91"/>
      <c r="FT116" s="91"/>
      <c r="FU116" s="91"/>
      <c r="FV116" s="91"/>
      <c r="FW116" s="91"/>
      <c r="FX116" s="91"/>
      <c r="FY116" s="91"/>
      <c r="FZ116" s="91"/>
      <c r="GA116" s="91"/>
      <c r="GB116" s="91"/>
      <c r="GC116" s="91"/>
      <c r="GD116" s="91"/>
      <c r="GE116" s="91"/>
      <c r="GF116" s="91"/>
      <c r="GG116" s="91"/>
      <c r="GH116" s="91"/>
      <c r="GI116" s="91"/>
      <c r="GJ116" s="91"/>
      <c r="GK116" s="91"/>
      <c r="GL116" s="91"/>
      <c r="GM116" s="91"/>
      <c r="GN116" s="91"/>
      <c r="GO116" s="91"/>
      <c r="GP116" s="91"/>
      <c r="GQ116" s="91"/>
      <c r="GR116" s="91"/>
      <c r="GS116" s="91"/>
      <c r="GT116" s="91"/>
      <c r="GU116" s="91"/>
      <c r="GV116" s="91"/>
      <c r="GW116" s="91"/>
      <c r="GX116" s="91"/>
      <c r="GY116" s="91"/>
      <c r="GZ116" s="91"/>
      <c r="HA116" s="91"/>
      <c r="HB116" s="91"/>
      <c r="HC116" s="91"/>
      <c r="HD116" s="91"/>
      <c r="HE116" s="91"/>
      <c r="HF116" s="91"/>
      <c r="HG116" s="91"/>
      <c r="HH116" s="91"/>
      <c r="HI116" s="91"/>
      <c r="HJ116" s="91"/>
      <c r="HK116" s="91"/>
      <c r="HL116" s="91"/>
      <c r="HM116" s="91"/>
      <c r="HN116" s="91"/>
      <c r="HO116" s="91"/>
      <c r="HP116" s="91"/>
      <c r="HQ116" s="91"/>
      <c r="HR116" s="91"/>
      <c r="HS116" s="91"/>
      <c r="HT116" s="91"/>
      <c r="HU116" s="91"/>
      <c r="HV116" s="91"/>
      <c r="HW116" s="91"/>
      <c r="HX116" s="91"/>
      <c r="HY116" s="91"/>
      <c r="HZ116" s="91"/>
      <c r="IA116" s="91"/>
      <c r="IB116" s="91"/>
      <c r="IC116" s="91"/>
      <c r="ID116" s="91"/>
      <c r="IE116" s="91"/>
      <c r="IF116" s="91"/>
      <c r="IG116" s="91"/>
      <c r="IH116" s="91"/>
      <c r="II116" s="91"/>
      <c r="IJ116" s="91"/>
      <c r="IK116" s="91"/>
      <c r="IL116" s="91"/>
      <c r="IM116" s="91"/>
      <c r="IN116" s="91"/>
      <c r="IO116" s="91"/>
      <c r="IP116" s="91"/>
      <c r="IQ116" s="91"/>
      <c r="IR116" s="91"/>
      <c r="IS116" s="91"/>
      <c r="IT116" s="91"/>
      <c r="IU116" s="91"/>
      <c r="IV116" s="91"/>
    </row>
    <row r="117" s="92" customFormat="1" ht="20.1" customHeight="1" spans="1:256">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c r="CD117" s="91"/>
      <c r="CE117" s="91"/>
      <c r="CF117" s="91"/>
      <c r="CG117" s="91"/>
      <c r="CH117" s="91"/>
      <c r="CI117" s="91"/>
      <c r="CJ117" s="91"/>
      <c r="CK117" s="91"/>
      <c r="CL117" s="91"/>
      <c r="CM117" s="91"/>
      <c r="CN117" s="91"/>
      <c r="CO117" s="91"/>
      <c r="CP117" s="91"/>
      <c r="CQ117" s="91"/>
      <c r="CR117" s="91"/>
      <c r="CS117" s="91"/>
      <c r="CT117" s="91"/>
      <c r="CU117" s="91"/>
      <c r="CV117" s="91"/>
      <c r="CW117" s="91"/>
      <c r="CX117" s="91"/>
      <c r="CY117" s="91"/>
      <c r="CZ117" s="91"/>
      <c r="DA117" s="91"/>
      <c r="DB117" s="91"/>
      <c r="DC117" s="91"/>
      <c r="DD117" s="91"/>
      <c r="DE117" s="91"/>
      <c r="DF117" s="91"/>
      <c r="DG117" s="91"/>
      <c r="DH117" s="91"/>
      <c r="DI117" s="91"/>
      <c r="DJ117" s="91"/>
      <c r="DK117" s="91"/>
      <c r="DL117" s="91"/>
      <c r="DM117" s="91"/>
      <c r="DN117" s="91"/>
      <c r="DO117" s="91"/>
      <c r="DP117" s="91"/>
      <c r="DQ117" s="91"/>
      <c r="DR117" s="91"/>
      <c r="DS117" s="91"/>
      <c r="DT117" s="91"/>
      <c r="DU117" s="91"/>
      <c r="DV117" s="91"/>
      <c r="DW117" s="91"/>
      <c r="DX117" s="91"/>
      <c r="DY117" s="91"/>
      <c r="DZ117" s="91"/>
      <c r="EA117" s="91"/>
      <c r="EB117" s="91"/>
      <c r="EC117" s="91"/>
      <c r="ED117" s="91"/>
      <c r="EE117" s="91"/>
      <c r="EF117" s="91"/>
      <c r="EG117" s="91"/>
      <c r="EH117" s="91"/>
      <c r="EI117" s="91"/>
      <c r="EJ117" s="91"/>
      <c r="EK117" s="91"/>
      <c r="EL117" s="91"/>
      <c r="EM117" s="91"/>
      <c r="EN117" s="91"/>
      <c r="EO117" s="91"/>
      <c r="EP117" s="91"/>
      <c r="EQ117" s="91"/>
      <c r="ER117" s="91"/>
      <c r="ES117" s="91"/>
      <c r="ET117" s="91"/>
      <c r="EU117" s="91"/>
      <c r="EV117" s="91"/>
      <c r="EW117" s="91"/>
      <c r="EX117" s="91"/>
      <c r="EY117" s="91"/>
      <c r="EZ117" s="91"/>
      <c r="FA117" s="91"/>
      <c r="FB117" s="91"/>
      <c r="FC117" s="91"/>
      <c r="FD117" s="91"/>
      <c r="FE117" s="91"/>
      <c r="FF117" s="91"/>
      <c r="FG117" s="91"/>
      <c r="FH117" s="91"/>
      <c r="FI117" s="91"/>
      <c r="FJ117" s="91"/>
      <c r="FK117" s="91"/>
      <c r="FL117" s="91"/>
      <c r="FM117" s="91"/>
      <c r="FN117" s="91"/>
      <c r="FO117" s="91"/>
      <c r="FP117" s="91"/>
      <c r="FQ117" s="91"/>
      <c r="FR117" s="91"/>
      <c r="FS117" s="91"/>
      <c r="FT117" s="91"/>
      <c r="FU117" s="91"/>
      <c r="FV117" s="91"/>
      <c r="FW117" s="91"/>
      <c r="FX117" s="91"/>
      <c r="FY117" s="91"/>
      <c r="FZ117" s="91"/>
      <c r="GA117" s="91"/>
      <c r="GB117" s="91"/>
      <c r="GC117" s="91"/>
      <c r="GD117" s="91"/>
      <c r="GE117" s="91"/>
      <c r="GF117" s="91"/>
      <c r="GG117" s="91"/>
      <c r="GH117" s="91"/>
      <c r="GI117" s="91"/>
      <c r="GJ117" s="91"/>
      <c r="GK117" s="91"/>
      <c r="GL117" s="91"/>
      <c r="GM117" s="91"/>
      <c r="GN117" s="91"/>
      <c r="GO117" s="91"/>
      <c r="GP117" s="91"/>
      <c r="GQ117" s="91"/>
      <c r="GR117" s="91"/>
      <c r="GS117" s="91"/>
      <c r="GT117" s="91"/>
      <c r="GU117" s="91"/>
      <c r="GV117" s="91"/>
      <c r="GW117" s="91"/>
      <c r="GX117" s="91"/>
      <c r="GY117" s="91"/>
      <c r="GZ117" s="91"/>
      <c r="HA117" s="91"/>
      <c r="HB117" s="91"/>
      <c r="HC117" s="91"/>
      <c r="HD117" s="91"/>
      <c r="HE117" s="91"/>
      <c r="HF117" s="91"/>
      <c r="HG117" s="91"/>
      <c r="HH117" s="91"/>
      <c r="HI117" s="91"/>
      <c r="HJ117" s="91"/>
      <c r="HK117" s="91"/>
      <c r="HL117" s="91"/>
      <c r="HM117" s="91"/>
      <c r="HN117" s="91"/>
      <c r="HO117" s="91"/>
      <c r="HP117" s="91"/>
      <c r="HQ117" s="91"/>
      <c r="HR117" s="91"/>
      <c r="HS117" s="91"/>
      <c r="HT117" s="91"/>
      <c r="HU117" s="91"/>
      <c r="HV117" s="91"/>
      <c r="HW117" s="91"/>
      <c r="HX117" s="91"/>
      <c r="HY117" s="91"/>
      <c r="HZ117" s="91"/>
      <c r="IA117" s="91"/>
      <c r="IB117" s="91"/>
      <c r="IC117" s="91"/>
      <c r="ID117" s="91"/>
      <c r="IE117" s="91"/>
      <c r="IF117" s="91"/>
      <c r="IG117" s="91"/>
      <c r="IH117" s="91"/>
      <c r="II117" s="91"/>
      <c r="IJ117" s="91"/>
      <c r="IK117" s="91"/>
      <c r="IL117" s="91"/>
      <c r="IM117" s="91"/>
      <c r="IN117" s="91"/>
      <c r="IO117" s="91"/>
      <c r="IP117" s="91"/>
      <c r="IQ117" s="91"/>
      <c r="IR117" s="91"/>
      <c r="IS117" s="91"/>
      <c r="IT117" s="91"/>
      <c r="IU117" s="91"/>
      <c r="IV117" s="91"/>
    </row>
    <row r="118" s="92" customFormat="1" ht="20.1" customHeight="1" spans="1:256">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c r="CV118" s="91"/>
      <c r="CW118" s="91"/>
      <c r="CX118" s="91"/>
      <c r="CY118" s="91"/>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c r="ED118" s="91"/>
      <c r="EE118" s="91"/>
      <c r="EF118" s="91"/>
      <c r="EG118" s="91"/>
      <c r="EH118" s="91"/>
      <c r="EI118" s="91"/>
      <c r="EJ118" s="91"/>
      <c r="EK118" s="91"/>
      <c r="EL118" s="91"/>
      <c r="EM118" s="91"/>
      <c r="EN118" s="91"/>
      <c r="EO118" s="91"/>
      <c r="EP118" s="91"/>
      <c r="EQ118" s="91"/>
      <c r="ER118" s="91"/>
      <c r="ES118" s="91"/>
      <c r="ET118" s="91"/>
      <c r="EU118" s="91"/>
      <c r="EV118" s="91"/>
      <c r="EW118" s="91"/>
      <c r="EX118" s="91"/>
      <c r="EY118" s="91"/>
      <c r="EZ118" s="91"/>
      <c r="FA118" s="91"/>
      <c r="FB118" s="91"/>
      <c r="FC118" s="91"/>
      <c r="FD118" s="91"/>
      <c r="FE118" s="91"/>
      <c r="FF118" s="91"/>
      <c r="FG118" s="91"/>
      <c r="FH118" s="91"/>
      <c r="FI118" s="91"/>
      <c r="FJ118" s="91"/>
      <c r="FK118" s="91"/>
      <c r="FL118" s="91"/>
      <c r="FM118" s="91"/>
      <c r="FN118" s="91"/>
      <c r="FO118" s="91"/>
      <c r="FP118" s="91"/>
      <c r="FQ118" s="91"/>
      <c r="FR118" s="91"/>
      <c r="FS118" s="91"/>
      <c r="FT118" s="91"/>
      <c r="FU118" s="91"/>
      <c r="FV118" s="91"/>
      <c r="FW118" s="91"/>
      <c r="FX118" s="91"/>
      <c r="FY118" s="91"/>
      <c r="FZ118" s="91"/>
      <c r="GA118" s="91"/>
      <c r="GB118" s="91"/>
      <c r="GC118" s="91"/>
      <c r="GD118" s="91"/>
      <c r="GE118" s="91"/>
      <c r="GF118" s="91"/>
      <c r="GG118" s="91"/>
      <c r="GH118" s="91"/>
      <c r="GI118" s="91"/>
      <c r="GJ118" s="91"/>
      <c r="GK118" s="91"/>
      <c r="GL118" s="91"/>
      <c r="GM118" s="91"/>
      <c r="GN118" s="91"/>
      <c r="GO118" s="91"/>
      <c r="GP118" s="91"/>
      <c r="GQ118" s="91"/>
      <c r="GR118" s="91"/>
      <c r="GS118" s="91"/>
      <c r="GT118" s="91"/>
      <c r="GU118" s="91"/>
      <c r="GV118" s="91"/>
      <c r="GW118" s="91"/>
      <c r="GX118" s="91"/>
      <c r="GY118" s="91"/>
      <c r="GZ118" s="91"/>
      <c r="HA118" s="91"/>
      <c r="HB118" s="91"/>
      <c r="HC118" s="91"/>
      <c r="HD118" s="91"/>
      <c r="HE118" s="91"/>
      <c r="HF118" s="91"/>
      <c r="HG118" s="91"/>
      <c r="HH118" s="91"/>
      <c r="HI118" s="91"/>
      <c r="HJ118" s="91"/>
      <c r="HK118" s="91"/>
      <c r="HL118" s="91"/>
      <c r="HM118" s="91"/>
      <c r="HN118" s="91"/>
      <c r="HO118" s="91"/>
      <c r="HP118" s="91"/>
      <c r="HQ118" s="91"/>
      <c r="HR118" s="91"/>
      <c r="HS118" s="91"/>
      <c r="HT118" s="91"/>
      <c r="HU118" s="91"/>
      <c r="HV118" s="91"/>
      <c r="HW118" s="91"/>
      <c r="HX118" s="91"/>
      <c r="HY118" s="91"/>
      <c r="HZ118" s="91"/>
      <c r="IA118" s="91"/>
      <c r="IB118" s="91"/>
      <c r="IC118" s="91"/>
      <c r="ID118" s="91"/>
      <c r="IE118" s="91"/>
      <c r="IF118" s="91"/>
      <c r="IG118" s="91"/>
      <c r="IH118" s="91"/>
      <c r="II118" s="91"/>
      <c r="IJ118" s="91"/>
      <c r="IK118" s="91"/>
      <c r="IL118" s="91"/>
      <c r="IM118" s="91"/>
      <c r="IN118" s="91"/>
      <c r="IO118" s="91"/>
      <c r="IP118" s="91"/>
      <c r="IQ118" s="91"/>
      <c r="IR118" s="91"/>
      <c r="IS118" s="91"/>
      <c r="IT118" s="91"/>
      <c r="IU118" s="91"/>
      <c r="IV118" s="91"/>
    </row>
    <row r="119" s="92" customFormat="1" ht="20.1" customHeight="1" spans="1:256">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c r="CV119" s="91"/>
      <c r="CW119" s="91"/>
      <c r="CX119" s="91"/>
      <c r="CY119" s="91"/>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c r="ED119" s="91"/>
      <c r="EE119" s="91"/>
      <c r="EF119" s="91"/>
      <c r="EG119" s="91"/>
      <c r="EH119" s="91"/>
      <c r="EI119" s="91"/>
      <c r="EJ119" s="91"/>
      <c r="EK119" s="91"/>
      <c r="EL119" s="91"/>
      <c r="EM119" s="91"/>
      <c r="EN119" s="91"/>
      <c r="EO119" s="91"/>
      <c r="EP119" s="91"/>
      <c r="EQ119" s="91"/>
      <c r="ER119" s="91"/>
      <c r="ES119" s="91"/>
      <c r="ET119" s="91"/>
      <c r="EU119" s="91"/>
      <c r="EV119" s="91"/>
      <c r="EW119" s="91"/>
      <c r="EX119" s="91"/>
      <c r="EY119" s="91"/>
      <c r="EZ119" s="91"/>
      <c r="FA119" s="91"/>
      <c r="FB119" s="91"/>
      <c r="FC119" s="91"/>
      <c r="FD119" s="91"/>
      <c r="FE119" s="91"/>
      <c r="FF119" s="91"/>
      <c r="FG119" s="91"/>
      <c r="FH119" s="91"/>
      <c r="FI119" s="91"/>
      <c r="FJ119" s="91"/>
      <c r="FK119" s="91"/>
      <c r="FL119" s="91"/>
      <c r="FM119" s="91"/>
      <c r="FN119" s="91"/>
      <c r="FO119" s="91"/>
      <c r="FP119" s="91"/>
      <c r="FQ119" s="91"/>
      <c r="FR119" s="91"/>
      <c r="FS119" s="91"/>
      <c r="FT119" s="91"/>
      <c r="FU119" s="91"/>
      <c r="FV119" s="91"/>
      <c r="FW119" s="91"/>
      <c r="FX119" s="91"/>
      <c r="FY119" s="91"/>
      <c r="FZ119" s="91"/>
      <c r="GA119" s="91"/>
      <c r="GB119" s="91"/>
      <c r="GC119" s="91"/>
      <c r="GD119" s="91"/>
      <c r="GE119" s="91"/>
      <c r="GF119" s="91"/>
      <c r="GG119" s="91"/>
      <c r="GH119" s="91"/>
      <c r="GI119" s="91"/>
      <c r="GJ119" s="91"/>
      <c r="GK119" s="91"/>
      <c r="GL119" s="91"/>
      <c r="GM119" s="91"/>
      <c r="GN119" s="91"/>
      <c r="GO119" s="91"/>
      <c r="GP119" s="91"/>
      <c r="GQ119" s="91"/>
      <c r="GR119" s="91"/>
      <c r="GS119" s="91"/>
      <c r="GT119" s="91"/>
      <c r="GU119" s="91"/>
      <c r="GV119" s="91"/>
      <c r="GW119" s="91"/>
      <c r="GX119" s="91"/>
      <c r="GY119" s="91"/>
      <c r="GZ119" s="91"/>
      <c r="HA119" s="91"/>
      <c r="HB119" s="91"/>
      <c r="HC119" s="91"/>
      <c r="HD119" s="91"/>
      <c r="HE119" s="91"/>
      <c r="HF119" s="91"/>
      <c r="HG119" s="91"/>
      <c r="HH119" s="91"/>
      <c r="HI119" s="91"/>
      <c r="HJ119" s="91"/>
      <c r="HK119" s="91"/>
      <c r="HL119" s="91"/>
      <c r="HM119" s="91"/>
      <c r="HN119" s="91"/>
      <c r="HO119" s="91"/>
      <c r="HP119" s="91"/>
      <c r="HQ119" s="91"/>
      <c r="HR119" s="91"/>
      <c r="HS119" s="91"/>
      <c r="HT119" s="91"/>
      <c r="HU119" s="91"/>
      <c r="HV119" s="91"/>
      <c r="HW119" s="91"/>
      <c r="HX119" s="91"/>
      <c r="HY119" s="91"/>
      <c r="HZ119" s="91"/>
      <c r="IA119" s="91"/>
      <c r="IB119" s="91"/>
      <c r="IC119" s="91"/>
      <c r="ID119" s="91"/>
      <c r="IE119" s="91"/>
      <c r="IF119" s="91"/>
      <c r="IG119" s="91"/>
      <c r="IH119" s="91"/>
      <c r="II119" s="91"/>
      <c r="IJ119" s="91"/>
      <c r="IK119" s="91"/>
      <c r="IL119" s="91"/>
      <c r="IM119" s="91"/>
      <c r="IN119" s="91"/>
      <c r="IO119" s="91"/>
      <c r="IP119" s="91"/>
      <c r="IQ119" s="91"/>
      <c r="IR119" s="91"/>
      <c r="IS119" s="91"/>
      <c r="IT119" s="91"/>
      <c r="IU119" s="91"/>
      <c r="IV119" s="91"/>
    </row>
    <row r="120" s="92" customFormat="1" ht="20.1" customHeight="1" spans="1:256">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c r="ED120" s="91"/>
      <c r="EE120" s="91"/>
      <c r="EF120" s="91"/>
      <c r="EG120" s="91"/>
      <c r="EH120" s="91"/>
      <c r="EI120" s="91"/>
      <c r="EJ120" s="91"/>
      <c r="EK120" s="91"/>
      <c r="EL120" s="91"/>
      <c r="EM120" s="91"/>
      <c r="EN120" s="91"/>
      <c r="EO120" s="91"/>
      <c r="EP120" s="91"/>
      <c r="EQ120" s="91"/>
      <c r="ER120" s="91"/>
      <c r="ES120" s="91"/>
      <c r="ET120" s="91"/>
      <c r="EU120" s="91"/>
      <c r="EV120" s="91"/>
      <c r="EW120" s="91"/>
      <c r="EX120" s="91"/>
      <c r="EY120" s="91"/>
      <c r="EZ120" s="91"/>
      <c r="FA120" s="91"/>
      <c r="FB120" s="91"/>
      <c r="FC120" s="91"/>
      <c r="FD120" s="91"/>
      <c r="FE120" s="91"/>
      <c r="FF120" s="91"/>
      <c r="FG120" s="91"/>
      <c r="FH120" s="91"/>
      <c r="FI120" s="91"/>
      <c r="FJ120" s="91"/>
      <c r="FK120" s="91"/>
      <c r="FL120" s="91"/>
      <c r="FM120" s="91"/>
      <c r="FN120" s="91"/>
      <c r="FO120" s="91"/>
      <c r="FP120" s="91"/>
      <c r="FQ120" s="91"/>
      <c r="FR120" s="91"/>
      <c r="FS120" s="91"/>
      <c r="FT120" s="91"/>
      <c r="FU120" s="91"/>
      <c r="FV120" s="91"/>
      <c r="FW120" s="91"/>
      <c r="FX120" s="91"/>
      <c r="FY120" s="91"/>
      <c r="FZ120" s="91"/>
      <c r="GA120" s="91"/>
      <c r="GB120" s="91"/>
      <c r="GC120" s="91"/>
      <c r="GD120" s="91"/>
      <c r="GE120" s="91"/>
      <c r="GF120" s="91"/>
      <c r="GG120" s="91"/>
      <c r="GH120" s="91"/>
      <c r="GI120" s="91"/>
      <c r="GJ120" s="91"/>
      <c r="GK120" s="91"/>
      <c r="GL120" s="91"/>
      <c r="GM120" s="91"/>
      <c r="GN120" s="91"/>
      <c r="GO120" s="91"/>
      <c r="GP120" s="91"/>
      <c r="GQ120" s="91"/>
      <c r="GR120" s="91"/>
      <c r="GS120" s="91"/>
      <c r="GT120" s="91"/>
      <c r="GU120" s="91"/>
      <c r="GV120" s="91"/>
      <c r="GW120" s="91"/>
      <c r="GX120" s="91"/>
      <c r="GY120" s="91"/>
      <c r="GZ120" s="91"/>
      <c r="HA120" s="91"/>
      <c r="HB120" s="91"/>
      <c r="HC120" s="91"/>
      <c r="HD120" s="91"/>
      <c r="HE120" s="91"/>
      <c r="HF120" s="91"/>
      <c r="HG120" s="91"/>
      <c r="HH120" s="91"/>
      <c r="HI120" s="91"/>
      <c r="HJ120" s="91"/>
      <c r="HK120" s="91"/>
      <c r="HL120" s="91"/>
      <c r="HM120" s="91"/>
      <c r="HN120" s="91"/>
      <c r="HO120" s="91"/>
      <c r="HP120" s="91"/>
      <c r="HQ120" s="91"/>
      <c r="HR120" s="91"/>
      <c r="HS120" s="91"/>
      <c r="HT120" s="91"/>
      <c r="HU120" s="91"/>
      <c r="HV120" s="91"/>
      <c r="HW120" s="91"/>
      <c r="HX120" s="91"/>
      <c r="HY120" s="91"/>
      <c r="HZ120" s="91"/>
      <c r="IA120" s="91"/>
      <c r="IB120" s="91"/>
      <c r="IC120" s="91"/>
      <c r="ID120" s="91"/>
      <c r="IE120" s="91"/>
      <c r="IF120" s="91"/>
      <c r="IG120" s="91"/>
      <c r="IH120" s="91"/>
      <c r="II120" s="91"/>
      <c r="IJ120" s="91"/>
      <c r="IK120" s="91"/>
      <c r="IL120" s="91"/>
      <c r="IM120" s="91"/>
      <c r="IN120" s="91"/>
      <c r="IO120" s="91"/>
      <c r="IP120" s="91"/>
      <c r="IQ120" s="91"/>
      <c r="IR120" s="91"/>
      <c r="IS120" s="91"/>
      <c r="IT120" s="91"/>
      <c r="IU120" s="91"/>
      <c r="IV120" s="91"/>
    </row>
    <row r="121" s="92" customFormat="1" ht="20.1" customHeight="1" spans="1:256">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1"/>
      <c r="CT121" s="91"/>
      <c r="CU121" s="91"/>
      <c r="CV121" s="91"/>
      <c r="CW121" s="91"/>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1"/>
      <c r="DX121" s="91"/>
      <c r="DY121" s="91"/>
      <c r="DZ121" s="91"/>
      <c r="EA121" s="91"/>
      <c r="EB121" s="91"/>
      <c r="EC121" s="91"/>
      <c r="ED121" s="91"/>
      <c r="EE121" s="91"/>
      <c r="EF121" s="91"/>
      <c r="EG121" s="91"/>
      <c r="EH121" s="91"/>
      <c r="EI121" s="91"/>
      <c r="EJ121" s="91"/>
      <c r="EK121" s="91"/>
      <c r="EL121" s="91"/>
      <c r="EM121" s="91"/>
      <c r="EN121" s="91"/>
      <c r="EO121" s="91"/>
      <c r="EP121" s="91"/>
      <c r="EQ121" s="91"/>
      <c r="ER121" s="91"/>
      <c r="ES121" s="91"/>
      <c r="ET121" s="91"/>
      <c r="EU121" s="91"/>
      <c r="EV121" s="91"/>
      <c r="EW121" s="91"/>
      <c r="EX121" s="91"/>
      <c r="EY121" s="91"/>
      <c r="EZ121" s="91"/>
      <c r="FA121" s="91"/>
      <c r="FB121" s="91"/>
      <c r="FC121" s="91"/>
      <c r="FD121" s="91"/>
      <c r="FE121" s="91"/>
      <c r="FF121" s="91"/>
      <c r="FG121" s="91"/>
      <c r="FH121" s="91"/>
      <c r="FI121" s="91"/>
      <c r="FJ121" s="91"/>
      <c r="FK121" s="91"/>
      <c r="FL121" s="91"/>
      <c r="FM121" s="91"/>
      <c r="FN121" s="91"/>
      <c r="FO121" s="91"/>
      <c r="FP121" s="91"/>
      <c r="FQ121" s="91"/>
      <c r="FR121" s="91"/>
      <c r="FS121" s="91"/>
      <c r="FT121" s="91"/>
      <c r="FU121" s="91"/>
      <c r="FV121" s="91"/>
      <c r="FW121" s="91"/>
      <c r="FX121" s="91"/>
      <c r="FY121" s="91"/>
      <c r="FZ121" s="91"/>
      <c r="GA121" s="91"/>
      <c r="GB121" s="91"/>
      <c r="GC121" s="91"/>
      <c r="GD121" s="91"/>
      <c r="GE121" s="91"/>
      <c r="GF121" s="91"/>
      <c r="GG121" s="91"/>
      <c r="GH121" s="91"/>
      <c r="GI121" s="91"/>
      <c r="GJ121" s="91"/>
      <c r="GK121" s="91"/>
      <c r="GL121" s="91"/>
      <c r="GM121" s="91"/>
      <c r="GN121" s="91"/>
      <c r="GO121" s="91"/>
      <c r="GP121" s="91"/>
      <c r="GQ121" s="91"/>
      <c r="GR121" s="91"/>
      <c r="GS121" s="91"/>
      <c r="GT121" s="91"/>
      <c r="GU121" s="91"/>
      <c r="GV121" s="91"/>
      <c r="GW121" s="91"/>
      <c r="GX121" s="91"/>
      <c r="GY121" s="91"/>
      <c r="GZ121" s="91"/>
      <c r="HA121" s="91"/>
      <c r="HB121" s="91"/>
      <c r="HC121" s="91"/>
      <c r="HD121" s="91"/>
      <c r="HE121" s="91"/>
      <c r="HF121" s="91"/>
      <c r="HG121" s="91"/>
      <c r="HH121" s="91"/>
      <c r="HI121" s="91"/>
      <c r="HJ121" s="91"/>
      <c r="HK121" s="91"/>
      <c r="HL121" s="91"/>
      <c r="HM121" s="91"/>
      <c r="HN121" s="91"/>
      <c r="HO121" s="91"/>
      <c r="HP121" s="91"/>
      <c r="HQ121" s="91"/>
      <c r="HR121" s="91"/>
      <c r="HS121" s="91"/>
      <c r="HT121" s="91"/>
      <c r="HU121" s="91"/>
      <c r="HV121" s="91"/>
      <c r="HW121" s="91"/>
      <c r="HX121" s="91"/>
      <c r="HY121" s="91"/>
      <c r="HZ121" s="91"/>
      <c r="IA121" s="91"/>
      <c r="IB121" s="91"/>
      <c r="IC121" s="91"/>
      <c r="ID121" s="91"/>
      <c r="IE121" s="91"/>
      <c r="IF121" s="91"/>
      <c r="IG121" s="91"/>
      <c r="IH121" s="91"/>
      <c r="II121" s="91"/>
      <c r="IJ121" s="91"/>
      <c r="IK121" s="91"/>
      <c r="IL121" s="91"/>
      <c r="IM121" s="91"/>
      <c r="IN121" s="91"/>
      <c r="IO121" s="91"/>
      <c r="IP121" s="91"/>
      <c r="IQ121" s="91"/>
      <c r="IR121" s="91"/>
      <c r="IS121" s="91"/>
      <c r="IT121" s="91"/>
      <c r="IU121" s="91"/>
      <c r="IV121" s="91"/>
    </row>
    <row r="122" s="92" customFormat="1" ht="20.1" customHeight="1" spans="1:256">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1"/>
      <c r="CT122" s="91"/>
      <c r="CU122" s="91"/>
      <c r="CV122" s="91"/>
      <c r="CW122" s="91"/>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1"/>
      <c r="DX122" s="91"/>
      <c r="DY122" s="91"/>
      <c r="DZ122" s="91"/>
      <c r="EA122" s="91"/>
      <c r="EB122" s="91"/>
      <c r="EC122" s="91"/>
      <c r="ED122" s="91"/>
      <c r="EE122" s="91"/>
      <c r="EF122" s="91"/>
      <c r="EG122" s="91"/>
      <c r="EH122" s="91"/>
      <c r="EI122" s="91"/>
      <c r="EJ122" s="91"/>
      <c r="EK122" s="91"/>
      <c r="EL122" s="91"/>
      <c r="EM122" s="91"/>
      <c r="EN122" s="91"/>
      <c r="EO122" s="91"/>
      <c r="EP122" s="91"/>
      <c r="EQ122" s="91"/>
      <c r="ER122" s="91"/>
      <c r="ES122" s="91"/>
      <c r="ET122" s="91"/>
      <c r="EU122" s="91"/>
      <c r="EV122" s="91"/>
      <c r="EW122" s="91"/>
      <c r="EX122" s="91"/>
      <c r="EY122" s="91"/>
      <c r="EZ122" s="91"/>
      <c r="FA122" s="91"/>
      <c r="FB122" s="91"/>
      <c r="FC122" s="91"/>
      <c r="FD122" s="91"/>
      <c r="FE122" s="91"/>
      <c r="FF122" s="91"/>
      <c r="FG122" s="91"/>
      <c r="FH122" s="91"/>
      <c r="FI122" s="91"/>
      <c r="FJ122" s="91"/>
      <c r="FK122" s="91"/>
      <c r="FL122" s="91"/>
      <c r="FM122" s="91"/>
      <c r="FN122" s="91"/>
      <c r="FO122" s="91"/>
      <c r="FP122" s="91"/>
      <c r="FQ122" s="91"/>
      <c r="FR122" s="91"/>
      <c r="FS122" s="91"/>
      <c r="FT122" s="91"/>
      <c r="FU122" s="91"/>
      <c r="FV122" s="91"/>
      <c r="FW122" s="91"/>
      <c r="FX122" s="91"/>
      <c r="FY122" s="91"/>
      <c r="FZ122" s="91"/>
      <c r="GA122" s="91"/>
      <c r="GB122" s="91"/>
      <c r="GC122" s="91"/>
      <c r="GD122" s="91"/>
      <c r="GE122" s="91"/>
      <c r="GF122" s="91"/>
      <c r="GG122" s="91"/>
      <c r="GH122" s="91"/>
      <c r="GI122" s="91"/>
      <c r="GJ122" s="91"/>
      <c r="GK122" s="91"/>
      <c r="GL122" s="91"/>
      <c r="GM122" s="91"/>
      <c r="GN122" s="91"/>
      <c r="GO122" s="91"/>
      <c r="GP122" s="91"/>
      <c r="GQ122" s="91"/>
      <c r="GR122" s="91"/>
      <c r="GS122" s="91"/>
      <c r="GT122" s="91"/>
      <c r="GU122" s="91"/>
      <c r="GV122" s="91"/>
      <c r="GW122" s="91"/>
      <c r="GX122" s="91"/>
      <c r="GY122" s="91"/>
      <c r="GZ122" s="91"/>
      <c r="HA122" s="91"/>
      <c r="HB122" s="91"/>
      <c r="HC122" s="91"/>
      <c r="HD122" s="91"/>
      <c r="HE122" s="91"/>
      <c r="HF122" s="91"/>
      <c r="HG122" s="91"/>
      <c r="HH122" s="91"/>
      <c r="HI122" s="91"/>
      <c r="HJ122" s="91"/>
      <c r="HK122" s="91"/>
      <c r="HL122" s="91"/>
      <c r="HM122" s="91"/>
      <c r="HN122" s="91"/>
      <c r="HO122" s="91"/>
      <c r="HP122" s="91"/>
      <c r="HQ122" s="91"/>
      <c r="HR122" s="91"/>
      <c r="HS122" s="91"/>
      <c r="HT122" s="91"/>
      <c r="HU122" s="91"/>
      <c r="HV122" s="91"/>
      <c r="HW122" s="91"/>
      <c r="HX122" s="91"/>
      <c r="HY122" s="91"/>
      <c r="HZ122" s="91"/>
      <c r="IA122" s="91"/>
      <c r="IB122" s="91"/>
      <c r="IC122" s="91"/>
      <c r="ID122" s="91"/>
      <c r="IE122" s="91"/>
      <c r="IF122" s="91"/>
      <c r="IG122" s="91"/>
      <c r="IH122" s="91"/>
      <c r="II122" s="91"/>
      <c r="IJ122" s="91"/>
      <c r="IK122" s="91"/>
      <c r="IL122" s="91"/>
      <c r="IM122" s="91"/>
      <c r="IN122" s="91"/>
      <c r="IO122" s="91"/>
      <c r="IP122" s="91"/>
      <c r="IQ122" s="91"/>
      <c r="IR122" s="91"/>
      <c r="IS122" s="91"/>
      <c r="IT122" s="91"/>
      <c r="IU122" s="91"/>
      <c r="IV122" s="91"/>
    </row>
    <row r="123" s="92" customFormat="1" ht="20.1" customHeight="1" spans="1:256">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1"/>
      <c r="CT123" s="91"/>
      <c r="CU123" s="91"/>
      <c r="CV123" s="91"/>
      <c r="CW123" s="91"/>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1"/>
      <c r="DX123" s="91"/>
      <c r="DY123" s="91"/>
      <c r="DZ123" s="91"/>
      <c r="EA123" s="91"/>
      <c r="EB123" s="91"/>
      <c r="EC123" s="91"/>
      <c r="ED123" s="91"/>
      <c r="EE123" s="91"/>
      <c r="EF123" s="91"/>
      <c r="EG123" s="91"/>
      <c r="EH123" s="91"/>
      <c r="EI123" s="91"/>
      <c r="EJ123" s="91"/>
      <c r="EK123" s="91"/>
      <c r="EL123" s="91"/>
      <c r="EM123" s="91"/>
      <c r="EN123" s="91"/>
      <c r="EO123" s="91"/>
      <c r="EP123" s="91"/>
      <c r="EQ123" s="91"/>
      <c r="ER123" s="91"/>
      <c r="ES123" s="91"/>
      <c r="ET123" s="91"/>
      <c r="EU123" s="91"/>
      <c r="EV123" s="91"/>
      <c r="EW123" s="91"/>
      <c r="EX123" s="91"/>
      <c r="EY123" s="91"/>
      <c r="EZ123" s="91"/>
      <c r="FA123" s="91"/>
      <c r="FB123" s="91"/>
      <c r="FC123" s="91"/>
      <c r="FD123" s="91"/>
      <c r="FE123" s="91"/>
      <c r="FF123" s="91"/>
      <c r="FG123" s="91"/>
      <c r="FH123" s="91"/>
      <c r="FI123" s="91"/>
      <c r="FJ123" s="91"/>
      <c r="FK123" s="91"/>
      <c r="FL123" s="91"/>
      <c r="FM123" s="91"/>
      <c r="FN123" s="91"/>
      <c r="FO123" s="91"/>
      <c r="FP123" s="91"/>
      <c r="FQ123" s="91"/>
      <c r="FR123" s="91"/>
      <c r="FS123" s="91"/>
      <c r="FT123" s="91"/>
      <c r="FU123" s="91"/>
      <c r="FV123" s="91"/>
      <c r="FW123" s="91"/>
      <c r="FX123" s="91"/>
      <c r="FY123" s="91"/>
      <c r="FZ123" s="91"/>
      <c r="GA123" s="91"/>
      <c r="GB123" s="91"/>
      <c r="GC123" s="91"/>
      <c r="GD123" s="91"/>
      <c r="GE123" s="91"/>
      <c r="GF123" s="91"/>
      <c r="GG123" s="91"/>
      <c r="GH123" s="91"/>
      <c r="GI123" s="91"/>
      <c r="GJ123" s="91"/>
      <c r="GK123" s="91"/>
      <c r="GL123" s="91"/>
      <c r="GM123" s="91"/>
      <c r="GN123" s="91"/>
      <c r="GO123" s="91"/>
      <c r="GP123" s="91"/>
      <c r="GQ123" s="91"/>
      <c r="GR123" s="91"/>
      <c r="GS123" s="91"/>
      <c r="GT123" s="91"/>
      <c r="GU123" s="91"/>
      <c r="GV123" s="91"/>
      <c r="GW123" s="91"/>
      <c r="GX123" s="91"/>
      <c r="GY123" s="91"/>
      <c r="GZ123" s="91"/>
      <c r="HA123" s="91"/>
      <c r="HB123" s="91"/>
      <c r="HC123" s="91"/>
      <c r="HD123" s="91"/>
      <c r="HE123" s="91"/>
      <c r="HF123" s="91"/>
      <c r="HG123" s="91"/>
      <c r="HH123" s="91"/>
      <c r="HI123" s="91"/>
      <c r="HJ123" s="91"/>
      <c r="HK123" s="91"/>
      <c r="HL123" s="91"/>
      <c r="HM123" s="91"/>
      <c r="HN123" s="91"/>
      <c r="HO123" s="91"/>
      <c r="HP123" s="91"/>
      <c r="HQ123" s="91"/>
      <c r="HR123" s="91"/>
      <c r="HS123" s="91"/>
      <c r="HT123" s="91"/>
      <c r="HU123" s="91"/>
      <c r="HV123" s="91"/>
      <c r="HW123" s="91"/>
      <c r="HX123" s="91"/>
      <c r="HY123" s="91"/>
      <c r="HZ123" s="91"/>
      <c r="IA123" s="91"/>
      <c r="IB123" s="91"/>
      <c r="IC123" s="91"/>
      <c r="ID123" s="91"/>
      <c r="IE123" s="91"/>
      <c r="IF123" s="91"/>
      <c r="IG123" s="91"/>
      <c r="IH123" s="91"/>
      <c r="II123" s="91"/>
      <c r="IJ123" s="91"/>
      <c r="IK123" s="91"/>
      <c r="IL123" s="91"/>
      <c r="IM123" s="91"/>
      <c r="IN123" s="91"/>
      <c r="IO123" s="91"/>
      <c r="IP123" s="91"/>
      <c r="IQ123" s="91"/>
      <c r="IR123" s="91"/>
      <c r="IS123" s="91"/>
      <c r="IT123" s="91"/>
      <c r="IU123" s="91"/>
      <c r="IV123" s="91"/>
    </row>
    <row r="124" s="92" customFormat="1" ht="20.1" customHeight="1" spans="1:256">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c r="ED124" s="91"/>
      <c r="EE124" s="91"/>
      <c r="EF124" s="91"/>
      <c r="EG124" s="91"/>
      <c r="EH124" s="91"/>
      <c r="EI124" s="91"/>
      <c r="EJ124" s="91"/>
      <c r="EK124" s="91"/>
      <c r="EL124" s="91"/>
      <c r="EM124" s="91"/>
      <c r="EN124" s="91"/>
      <c r="EO124" s="91"/>
      <c r="EP124" s="91"/>
      <c r="EQ124" s="91"/>
      <c r="ER124" s="91"/>
      <c r="ES124" s="91"/>
      <c r="ET124" s="91"/>
      <c r="EU124" s="91"/>
      <c r="EV124" s="91"/>
      <c r="EW124" s="91"/>
      <c r="EX124" s="91"/>
      <c r="EY124" s="91"/>
      <c r="EZ124" s="91"/>
      <c r="FA124" s="91"/>
      <c r="FB124" s="91"/>
      <c r="FC124" s="91"/>
      <c r="FD124" s="91"/>
      <c r="FE124" s="91"/>
      <c r="FF124" s="91"/>
      <c r="FG124" s="91"/>
      <c r="FH124" s="91"/>
      <c r="FI124" s="91"/>
      <c r="FJ124" s="91"/>
      <c r="FK124" s="91"/>
      <c r="FL124" s="91"/>
      <c r="FM124" s="91"/>
      <c r="FN124" s="91"/>
      <c r="FO124" s="91"/>
      <c r="FP124" s="91"/>
      <c r="FQ124" s="91"/>
      <c r="FR124" s="91"/>
      <c r="FS124" s="91"/>
      <c r="FT124" s="91"/>
      <c r="FU124" s="91"/>
      <c r="FV124" s="91"/>
      <c r="FW124" s="91"/>
      <c r="FX124" s="91"/>
      <c r="FY124" s="91"/>
      <c r="FZ124" s="91"/>
      <c r="GA124" s="91"/>
      <c r="GB124" s="91"/>
      <c r="GC124" s="91"/>
      <c r="GD124" s="91"/>
      <c r="GE124" s="91"/>
      <c r="GF124" s="91"/>
      <c r="GG124" s="91"/>
      <c r="GH124" s="91"/>
      <c r="GI124" s="91"/>
      <c r="GJ124" s="91"/>
      <c r="GK124" s="91"/>
      <c r="GL124" s="91"/>
      <c r="GM124" s="91"/>
      <c r="GN124" s="91"/>
      <c r="GO124" s="91"/>
      <c r="GP124" s="91"/>
      <c r="GQ124" s="91"/>
      <c r="GR124" s="91"/>
      <c r="GS124" s="91"/>
      <c r="GT124" s="91"/>
      <c r="GU124" s="91"/>
      <c r="GV124" s="91"/>
      <c r="GW124" s="91"/>
      <c r="GX124" s="91"/>
      <c r="GY124" s="91"/>
      <c r="GZ124" s="91"/>
      <c r="HA124" s="91"/>
      <c r="HB124" s="91"/>
      <c r="HC124" s="91"/>
      <c r="HD124" s="91"/>
      <c r="HE124" s="91"/>
      <c r="HF124" s="91"/>
      <c r="HG124" s="91"/>
      <c r="HH124" s="91"/>
      <c r="HI124" s="91"/>
      <c r="HJ124" s="91"/>
      <c r="HK124" s="91"/>
      <c r="HL124" s="91"/>
      <c r="HM124" s="91"/>
      <c r="HN124" s="91"/>
      <c r="HO124" s="91"/>
      <c r="HP124" s="91"/>
      <c r="HQ124" s="91"/>
      <c r="HR124" s="91"/>
      <c r="HS124" s="91"/>
      <c r="HT124" s="91"/>
      <c r="HU124" s="91"/>
      <c r="HV124" s="91"/>
      <c r="HW124" s="91"/>
      <c r="HX124" s="91"/>
      <c r="HY124" s="91"/>
      <c r="HZ124" s="91"/>
      <c r="IA124" s="91"/>
      <c r="IB124" s="91"/>
      <c r="IC124" s="91"/>
      <c r="ID124" s="91"/>
      <c r="IE124" s="91"/>
      <c r="IF124" s="91"/>
      <c r="IG124" s="91"/>
      <c r="IH124" s="91"/>
      <c r="II124" s="91"/>
      <c r="IJ124" s="91"/>
      <c r="IK124" s="91"/>
      <c r="IL124" s="91"/>
      <c r="IM124" s="91"/>
      <c r="IN124" s="91"/>
      <c r="IO124" s="91"/>
      <c r="IP124" s="91"/>
      <c r="IQ124" s="91"/>
      <c r="IR124" s="91"/>
      <c r="IS124" s="91"/>
      <c r="IT124" s="91"/>
      <c r="IU124" s="91"/>
      <c r="IV124" s="91"/>
    </row>
    <row r="125" s="92" customFormat="1" ht="20.1" customHeight="1" spans="1:256">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91"/>
      <c r="ED125" s="91"/>
      <c r="EE125" s="91"/>
      <c r="EF125" s="91"/>
      <c r="EG125" s="91"/>
      <c r="EH125" s="91"/>
      <c r="EI125" s="91"/>
      <c r="EJ125" s="91"/>
      <c r="EK125" s="91"/>
      <c r="EL125" s="91"/>
      <c r="EM125" s="91"/>
      <c r="EN125" s="91"/>
      <c r="EO125" s="91"/>
      <c r="EP125" s="91"/>
      <c r="EQ125" s="91"/>
      <c r="ER125" s="91"/>
      <c r="ES125" s="91"/>
      <c r="ET125" s="91"/>
      <c r="EU125" s="91"/>
      <c r="EV125" s="91"/>
      <c r="EW125" s="91"/>
      <c r="EX125" s="91"/>
      <c r="EY125" s="91"/>
      <c r="EZ125" s="91"/>
      <c r="FA125" s="91"/>
      <c r="FB125" s="91"/>
      <c r="FC125" s="91"/>
      <c r="FD125" s="91"/>
      <c r="FE125" s="91"/>
      <c r="FF125" s="91"/>
      <c r="FG125" s="91"/>
      <c r="FH125" s="91"/>
      <c r="FI125" s="91"/>
      <c r="FJ125" s="91"/>
      <c r="FK125" s="91"/>
      <c r="FL125" s="91"/>
      <c r="FM125" s="91"/>
      <c r="FN125" s="91"/>
      <c r="FO125" s="91"/>
      <c r="FP125" s="91"/>
      <c r="FQ125" s="91"/>
      <c r="FR125" s="91"/>
      <c r="FS125" s="91"/>
      <c r="FT125" s="91"/>
      <c r="FU125" s="91"/>
      <c r="FV125" s="91"/>
      <c r="FW125" s="91"/>
      <c r="FX125" s="91"/>
      <c r="FY125" s="91"/>
      <c r="FZ125" s="91"/>
      <c r="GA125" s="91"/>
      <c r="GB125" s="91"/>
      <c r="GC125" s="91"/>
      <c r="GD125" s="91"/>
      <c r="GE125" s="91"/>
      <c r="GF125" s="91"/>
      <c r="GG125" s="91"/>
      <c r="GH125" s="91"/>
      <c r="GI125" s="91"/>
      <c r="GJ125" s="91"/>
      <c r="GK125" s="91"/>
      <c r="GL125" s="91"/>
      <c r="GM125" s="91"/>
      <c r="GN125" s="91"/>
      <c r="GO125" s="91"/>
      <c r="GP125" s="91"/>
      <c r="GQ125" s="91"/>
      <c r="GR125" s="91"/>
      <c r="GS125" s="91"/>
      <c r="GT125" s="91"/>
      <c r="GU125" s="91"/>
      <c r="GV125" s="91"/>
      <c r="GW125" s="91"/>
      <c r="GX125" s="91"/>
      <c r="GY125" s="91"/>
      <c r="GZ125" s="91"/>
      <c r="HA125" s="91"/>
      <c r="HB125" s="91"/>
      <c r="HC125" s="91"/>
      <c r="HD125" s="91"/>
      <c r="HE125" s="91"/>
      <c r="HF125" s="91"/>
      <c r="HG125" s="91"/>
      <c r="HH125" s="91"/>
      <c r="HI125" s="91"/>
      <c r="HJ125" s="91"/>
      <c r="HK125" s="91"/>
      <c r="HL125" s="91"/>
      <c r="HM125" s="91"/>
      <c r="HN125" s="91"/>
      <c r="HO125" s="91"/>
      <c r="HP125" s="91"/>
      <c r="HQ125" s="91"/>
      <c r="HR125" s="91"/>
      <c r="HS125" s="91"/>
      <c r="HT125" s="91"/>
      <c r="HU125" s="91"/>
      <c r="HV125" s="91"/>
      <c r="HW125" s="91"/>
      <c r="HX125" s="91"/>
      <c r="HY125" s="91"/>
      <c r="HZ125" s="91"/>
      <c r="IA125" s="91"/>
      <c r="IB125" s="91"/>
      <c r="IC125" s="91"/>
      <c r="ID125" s="91"/>
      <c r="IE125" s="91"/>
      <c r="IF125" s="91"/>
      <c r="IG125" s="91"/>
      <c r="IH125" s="91"/>
      <c r="II125" s="91"/>
      <c r="IJ125" s="91"/>
      <c r="IK125" s="91"/>
      <c r="IL125" s="91"/>
      <c r="IM125" s="91"/>
      <c r="IN125" s="91"/>
      <c r="IO125" s="91"/>
      <c r="IP125" s="91"/>
      <c r="IQ125" s="91"/>
      <c r="IR125" s="91"/>
      <c r="IS125" s="91"/>
      <c r="IT125" s="91"/>
      <c r="IU125" s="91"/>
      <c r="IV125" s="91"/>
    </row>
    <row r="126" s="92" customFormat="1" ht="20.1" customHeight="1" spans="1:256">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91"/>
      <c r="DY126" s="91"/>
      <c r="DZ126" s="91"/>
      <c r="EA126" s="91"/>
      <c r="EB126" s="91"/>
      <c r="EC126" s="91"/>
      <c r="ED126" s="91"/>
      <c r="EE126" s="91"/>
      <c r="EF126" s="91"/>
      <c r="EG126" s="91"/>
      <c r="EH126" s="91"/>
      <c r="EI126" s="91"/>
      <c r="EJ126" s="91"/>
      <c r="EK126" s="91"/>
      <c r="EL126" s="91"/>
      <c r="EM126" s="91"/>
      <c r="EN126" s="91"/>
      <c r="EO126" s="91"/>
      <c r="EP126" s="91"/>
      <c r="EQ126" s="91"/>
      <c r="ER126" s="91"/>
      <c r="ES126" s="91"/>
      <c r="ET126" s="91"/>
      <c r="EU126" s="91"/>
      <c r="EV126" s="91"/>
      <c r="EW126" s="91"/>
      <c r="EX126" s="91"/>
      <c r="EY126" s="91"/>
      <c r="EZ126" s="91"/>
      <c r="FA126" s="91"/>
      <c r="FB126" s="91"/>
      <c r="FC126" s="91"/>
      <c r="FD126" s="91"/>
      <c r="FE126" s="91"/>
      <c r="FF126" s="91"/>
      <c r="FG126" s="91"/>
      <c r="FH126" s="91"/>
      <c r="FI126" s="91"/>
      <c r="FJ126" s="91"/>
      <c r="FK126" s="91"/>
      <c r="FL126" s="91"/>
      <c r="FM126" s="91"/>
      <c r="FN126" s="91"/>
      <c r="FO126" s="91"/>
      <c r="FP126" s="91"/>
      <c r="FQ126" s="91"/>
      <c r="FR126" s="91"/>
      <c r="FS126" s="91"/>
      <c r="FT126" s="91"/>
      <c r="FU126" s="91"/>
      <c r="FV126" s="91"/>
      <c r="FW126" s="91"/>
      <c r="FX126" s="91"/>
      <c r="FY126" s="91"/>
      <c r="FZ126" s="91"/>
      <c r="GA126" s="91"/>
      <c r="GB126" s="91"/>
      <c r="GC126" s="91"/>
      <c r="GD126" s="91"/>
      <c r="GE126" s="91"/>
      <c r="GF126" s="91"/>
      <c r="GG126" s="91"/>
      <c r="GH126" s="91"/>
      <c r="GI126" s="91"/>
      <c r="GJ126" s="91"/>
      <c r="GK126" s="91"/>
      <c r="GL126" s="91"/>
      <c r="GM126" s="91"/>
      <c r="GN126" s="91"/>
      <c r="GO126" s="91"/>
      <c r="GP126" s="91"/>
      <c r="GQ126" s="91"/>
      <c r="GR126" s="91"/>
      <c r="GS126" s="91"/>
      <c r="GT126" s="91"/>
      <c r="GU126" s="91"/>
      <c r="GV126" s="91"/>
      <c r="GW126" s="91"/>
      <c r="GX126" s="91"/>
      <c r="GY126" s="91"/>
      <c r="GZ126" s="91"/>
      <c r="HA126" s="91"/>
      <c r="HB126" s="91"/>
      <c r="HC126" s="91"/>
      <c r="HD126" s="91"/>
      <c r="HE126" s="91"/>
      <c r="HF126" s="91"/>
      <c r="HG126" s="91"/>
      <c r="HH126" s="91"/>
      <c r="HI126" s="91"/>
      <c r="HJ126" s="91"/>
      <c r="HK126" s="91"/>
      <c r="HL126" s="91"/>
      <c r="HM126" s="91"/>
      <c r="HN126" s="91"/>
      <c r="HO126" s="91"/>
      <c r="HP126" s="91"/>
      <c r="HQ126" s="91"/>
      <c r="HR126" s="91"/>
      <c r="HS126" s="91"/>
      <c r="HT126" s="91"/>
      <c r="HU126" s="91"/>
      <c r="HV126" s="91"/>
      <c r="HW126" s="91"/>
      <c r="HX126" s="91"/>
      <c r="HY126" s="91"/>
      <c r="HZ126" s="91"/>
      <c r="IA126" s="91"/>
      <c r="IB126" s="91"/>
      <c r="IC126" s="91"/>
      <c r="ID126" s="91"/>
      <c r="IE126" s="91"/>
      <c r="IF126" s="91"/>
      <c r="IG126" s="91"/>
      <c r="IH126" s="91"/>
      <c r="II126" s="91"/>
      <c r="IJ126" s="91"/>
      <c r="IK126" s="91"/>
      <c r="IL126" s="91"/>
      <c r="IM126" s="91"/>
      <c r="IN126" s="91"/>
      <c r="IO126" s="91"/>
      <c r="IP126" s="91"/>
      <c r="IQ126" s="91"/>
      <c r="IR126" s="91"/>
      <c r="IS126" s="91"/>
      <c r="IT126" s="91"/>
      <c r="IU126" s="91"/>
      <c r="IV126" s="91"/>
    </row>
    <row r="127" s="92" customFormat="1" ht="20.1" customHeight="1" spans="1:256">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c r="ED127" s="91"/>
      <c r="EE127" s="91"/>
      <c r="EF127" s="91"/>
      <c r="EG127" s="91"/>
      <c r="EH127" s="91"/>
      <c r="EI127" s="91"/>
      <c r="EJ127" s="91"/>
      <c r="EK127" s="91"/>
      <c r="EL127" s="91"/>
      <c r="EM127" s="91"/>
      <c r="EN127" s="91"/>
      <c r="EO127" s="91"/>
      <c r="EP127" s="91"/>
      <c r="EQ127" s="91"/>
      <c r="ER127" s="91"/>
      <c r="ES127" s="91"/>
      <c r="ET127" s="91"/>
      <c r="EU127" s="91"/>
      <c r="EV127" s="91"/>
      <c r="EW127" s="91"/>
      <c r="EX127" s="91"/>
      <c r="EY127" s="91"/>
      <c r="EZ127" s="91"/>
      <c r="FA127" s="91"/>
      <c r="FB127" s="91"/>
      <c r="FC127" s="91"/>
      <c r="FD127" s="91"/>
      <c r="FE127" s="91"/>
      <c r="FF127" s="91"/>
      <c r="FG127" s="91"/>
      <c r="FH127" s="91"/>
      <c r="FI127" s="91"/>
      <c r="FJ127" s="91"/>
      <c r="FK127" s="91"/>
      <c r="FL127" s="91"/>
      <c r="FM127" s="91"/>
      <c r="FN127" s="91"/>
      <c r="FO127" s="91"/>
      <c r="FP127" s="91"/>
      <c r="FQ127" s="91"/>
      <c r="FR127" s="91"/>
      <c r="FS127" s="91"/>
      <c r="FT127" s="91"/>
      <c r="FU127" s="91"/>
      <c r="FV127" s="91"/>
      <c r="FW127" s="91"/>
      <c r="FX127" s="91"/>
      <c r="FY127" s="91"/>
      <c r="FZ127" s="91"/>
      <c r="GA127" s="91"/>
      <c r="GB127" s="91"/>
      <c r="GC127" s="91"/>
      <c r="GD127" s="91"/>
      <c r="GE127" s="91"/>
      <c r="GF127" s="91"/>
      <c r="GG127" s="91"/>
      <c r="GH127" s="91"/>
      <c r="GI127" s="91"/>
      <c r="GJ127" s="91"/>
      <c r="GK127" s="91"/>
      <c r="GL127" s="91"/>
      <c r="GM127" s="91"/>
      <c r="GN127" s="91"/>
      <c r="GO127" s="91"/>
      <c r="GP127" s="91"/>
      <c r="GQ127" s="91"/>
      <c r="GR127" s="91"/>
      <c r="GS127" s="91"/>
      <c r="GT127" s="91"/>
      <c r="GU127" s="91"/>
      <c r="GV127" s="91"/>
      <c r="GW127" s="91"/>
      <c r="GX127" s="91"/>
      <c r="GY127" s="91"/>
      <c r="GZ127" s="91"/>
      <c r="HA127" s="91"/>
      <c r="HB127" s="91"/>
      <c r="HC127" s="91"/>
      <c r="HD127" s="91"/>
      <c r="HE127" s="91"/>
      <c r="HF127" s="91"/>
      <c r="HG127" s="91"/>
      <c r="HH127" s="91"/>
      <c r="HI127" s="91"/>
      <c r="HJ127" s="91"/>
      <c r="HK127" s="91"/>
      <c r="HL127" s="91"/>
      <c r="HM127" s="91"/>
      <c r="HN127" s="91"/>
      <c r="HO127" s="91"/>
      <c r="HP127" s="91"/>
      <c r="HQ127" s="91"/>
      <c r="HR127" s="91"/>
      <c r="HS127" s="91"/>
      <c r="HT127" s="91"/>
      <c r="HU127" s="91"/>
      <c r="HV127" s="91"/>
      <c r="HW127" s="91"/>
      <c r="HX127" s="91"/>
      <c r="HY127" s="91"/>
      <c r="HZ127" s="91"/>
      <c r="IA127" s="91"/>
      <c r="IB127" s="91"/>
      <c r="IC127" s="91"/>
      <c r="ID127" s="91"/>
      <c r="IE127" s="91"/>
      <c r="IF127" s="91"/>
      <c r="IG127" s="91"/>
      <c r="IH127" s="91"/>
      <c r="II127" s="91"/>
      <c r="IJ127" s="91"/>
      <c r="IK127" s="91"/>
      <c r="IL127" s="91"/>
      <c r="IM127" s="91"/>
      <c r="IN127" s="91"/>
      <c r="IO127" s="91"/>
      <c r="IP127" s="91"/>
      <c r="IQ127" s="91"/>
      <c r="IR127" s="91"/>
      <c r="IS127" s="91"/>
      <c r="IT127" s="91"/>
      <c r="IU127" s="91"/>
      <c r="IV127" s="91"/>
    </row>
    <row r="128" s="92" customFormat="1" ht="20.1" customHeight="1" spans="1:256">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91"/>
      <c r="DY128" s="91"/>
      <c r="DZ128" s="91"/>
      <c r="EA128" s="91"/>
      <c r="EB128" s="91"/>
      <c r="EC128" s="91"/>
      <c r="ED128" s="91"/>
      <c r="EE128" s="91"/>
      <c r="EF128" s="91"/>
      <c r="EG128" s="91"/>
      <c r="EH128" s="91"/>
      <c r="EI128" s="91"/>
      <c r="EJ128" s="91"/>
      <c r="EK128" s="91"/>
      <c r="EL128" s="91"/>
      <c r="EM128" s="91"/>
      <c r="EN128" s="91"/>
      <c r="EO128" s="91"/>
      <c r="EP128" s="91"/>
      <c r="EQ128" s="91"/>
      <c r="ER128" s="91"/>
      <c r="ES128" s="91"/>
      <c r="ET128" s="91"/>
      <c r="EU128" s="91"/>
      <c r="EV128" s="91"/>
      <c r="EW128" s="91"/>
      <c r="EX128" s="91"/>
      <c r="EY128" s="91"/>
      <c r="EZ128" s="91"/>
      <c r="FA128" s="91"/>
      <c r="FB128" s="91"/>
      <c r="FC128" s="91"/>
      <c r="FD128" s="91"/>
      <c r="FE128" s="91"/>
      <c r="FF128" s="91"/>
      <c r="FG128" s="91"/>
      <c r="FH128" s="91"/>
      <c r="FI128" s="91"/>
      <c r="FJ128" s="91"/>
      <c r="FK128" s="91"/>
      <c r="FL128" s="91"/>
      <c r="FM128" s="91"/>
      <c r="FN128" s="91"/>
      <c r="FO128" s="91"/>
      <c r="FP128" s="91"/>
      <c r="FQ128" s="91"/>
      <c r="FR128" s="91"/>
      <c r="FS128" s="91"/>
      <c r="FT128" s="91"/>
      <c r="FU128" s="91"/>
      <c r="FV128" s="91"/>
      <c r="FW128" s="91"/>
      <c r="FX128" s="91"/>
      <c r="FY128" s="91"/>
      <c r="FZ128" s="91"/>
      <c r="GA128" s="91"/>
      <c r="GB128" s="91"/>
      <c r="GC128" s="91"/>
      <c r="GD128" s="91"/>
      <c r="GE128" s="91"/>
      <c r="GF128" s="91"/>
      <c r="GG128" s="91"/>
      <c r="GH128" s="91"/>
      <c r="GI128" s="91"/>
      <c r="GJ128" s="91"/>
      <c r="GK128" s="91"/>
      <c r="GL128" s="91"/>
      <c r="GM128" s="91"/>
      <c r="GN128" s="91"/>
      <c r="GO128" s="91"/>
      <c r="GP128" s="91"/>
      <c r="GQ128" s="91"/>
      <c r="GR128" s="91"/>
      <c r="GS128" s="91"/>
      <c r="GT128" s="91"/>
      <c r="GU128" s="91"/>
      <c r="GV128" s="91"/>
      <c r="GW128" s="91"/>
      <c r="GX128" s="91"/>
      <c r="GY128" s="91"/>
      <c r="GZ128" s="91"/>
      <c r="HA128" s="91"/>
      <c r="HB128" s="91"/>
      <c r="HC128" s="91"/>
      <c r="HD128" s="91"/>
      <c r="HE128" s="91"/>
      <c r="HF128" s="91"/>
      <c r="HG128" s="91"/>
      <c r="HH128" s="91"/>
      <c r="HI128" s="91"/>
      <c r="HJ128" s="91"/>
      <c r="HK128" s="91"/>
      <c r="HL128" s="91"/>
      <c r="HM128" s="91"/>
      <c r="HN128" s="91"/>
      <c r="HO128" s="91"/>
      <c r="HP128" s="91"/>
      <c r="HQ128" s="91"/>
      <c r="HR128" s="91"/>
      <c r="HS128" s="91"/>
      <c r="HT128" s="91"/>
      <c r="HU128" s="91"/>
      <c r="HV128" s="91"/>
      <c r="HW128" s="91"/>
      <c r="HX128" s="91"/>
      <c r="HY128" s="91"/>
      <c r="HZ128" s="91"/>
      <c r="IA128" s="91"/>
      <c r="IB128" s="91"/>
      <c r="IC128" s="91"/>
      <c r="ID128" s="91"/>
      <c r="IE128" s="91"/>
      <c r="IF128" s="91"/>
      <c r="IG128" s="91"/>
      <c r="IH128" s="91"/>
      <c r="II128" s="91"/>
      <c r="IJ128" s="91"/>
      <c r="IK128" s="91"/>
      <c r="IL128" s="91"/>
      <c r="IM128" s="91"/>
      <c r="IN128" s="91"/>
      <c r="IO128" s="91"/>
      <c r="IP128" s="91"/>
      <c r="IQ128" s="91"/>
      <c r="IR128" s="91"/>
      <c r="IS128" s="91"/>
      <c r="IT128" s="91"/>
      <c r="IU128" s="91"/>
      <c r="IV128" s="91"/>
    </row>
    <row r="129" s="92" customFormat="1" ht="20.1" customHeight="1" spans="1:256">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91"/>
      <c r="DY129" s="91"/>
      <c r="DZ129" s="91"/>
      <c r="EA129" s="91"/>
      <c r="EB129" s="91"/>
      <c r="EC129" s="91"/>
      <c r="ED129" s="91"/>
      <c r="EE129" s="91"/>
      <c r="EF129" s="91"/>
      <c r="EG129" s="91"/>
      <c r="EH129" s="91"/>
      <c r="EI129" s="91"/>
      <c r="EJ129" s="91"/>
      <c r="EK129" s="91"/>
      <c r="EL129" s="91"/>
      <c r="EM129" s="91"/>
      <c r="EN129" s="91"/>
      <c r="EO129" s="91"/>
      <c r="EP129" s="91"/>
      <c r="EQ129" s="91"/>
      <c r="ER129" s="91"/>
      <c r="ES129" s="91"/>
      <c r="ET129" s="91"/>
      <c r="EU129" s="91"/>
      <c r="EV129" s="91"/>
      <c r="EW129" s="91"/>
      <c r="EX129" s="91"/>
      <c r="EY129" s="91"/>
      <c r="EZ129" s="91"/>
      <c r="FA129" s="91"/>
      <c r="FB129" s="91"/>
      <c r="FC129" s="91"/>
      <c r="FD129" s="91"/>
      <c r="FE129" s="91"/>
      <c r="FF129" s="91"/>
      <c r="FG129" s="91"/>
      <c r="FH129" s="91"/>
      <c r="FI129" s="91"/>
      <c r="FJ129" s="91"/>
      <c r="FK129" s="91"/>
      <c r="FL129" s="91"/>
      <c r="FM129" s="91"/>
      <c r="FN129" s="91"/>
      <c r="FO129" s="91"/>
      <c r="FP129" s="91"/>
      <c r="FQ129" s="91"/>
      <c r="FR129" s="91"/>
      <c r="FS129" s="91"/>
      <c r="FT129" s="91"/>
      <c r="FU129" s="91"/>
      <c r="FV129" s="91"/>
      <c r="FW129" s="91"/>
      <c r="FX129" s="91"/>
      <c r="FY129" s="91"/>
      <c r="FZ129" s="91"/>
      <c r="GA129" s="91"/>
      <c r="GB129" s="91"/>
      <c r="GC129" s="91"/>
      <c r="GD129" s="91"/>
      <c r="GE129" s="91"/>
      <c r="GF129" s="91"/>
      <c r="GG129" s="91"/>
      <c r="GH129" s="91"/>
      <c r="GI129" s="91"/>
      <c r="GJ129" s="91"/>
      <c r="GK129" s="91"/>
      <c r="GL129" s="91"/>
      <c r="GM129" s="91"/>
      <c r="GN129" s="91"/>
      <c r="GO129" s="91"/>
      <c r="GP129" s="91"/>
      <c r="GQ129" s="91"/>
      <c r="GR129" s="91"/>
      <c r="GS129" s="91"/>
      <c r="GT129" s="91"/>
      <c r="GU129" s="91"/>
      <c r="GV129" s="91"/>
      <c r="GW129" s="91"/>
      <c r="GX129" s="91"/>
      <c r="GY129" s="91"/>
      <c r="GZ129" s="91"/>
      <c r="HA129" s="91"/>
      <c r="HB129" s="91"/>
      <c r="HC129" s="91"/>
      <c r="HD129" s="91"/>
      <c r="HE129" s="91"/>
      <c r="HF129" s="91"/>
      <c r="HG129" s="91"/>
      <c r="HH129" s="91"/>
      <c r="HI129" s="91"/>
      <c r="HJ129" s="91"/>
      <c r="HK129" s="91"/>
      <c r="HL129" s="91"/>
      <c r="HM129" s="91"/>
      <c r="HN129" s="91"/>
      <c r="HO129" s="91"/>
      <c r="HP129" s="91"/>
      <c r="HQ129" s="91"/>
      <c r="HR129" s="91"/>
      <c r="HS129" s="91"/>
      <c r="HT129" s="91"/>
      <c r="HU129" s="91"/>
      <c r="HV129" s="91"/>
      <c r="HW129" s="91"/>
      <c r="HX129" s="91"/>
      <c r="HY129" s="91"/>
      <c r="HZ129" s="91"/>
      <c r="IA129" s="91"/>
      <c r="IB129" s="91"/>
      <c r="IC129" s="91"/>
      <c r="ID129" s="91"/>
      <c r="IE129" s="91"/>
      <c r="IF129" s="91"/>
      <c r="IG129" s="91"/>
      <c r="IH129" s="91"/>
      <c r="II129" s="91"/>
      <c r="IJ129" s="91"/>
      <c r="IK129" s="91"/>
      <c r="IL129" s="91"/>
      <c r="IM129" s="91"/>
      <c r="IN129" s="91"/>
      <c r="IO129" s="91"/>
      <c r="IP129" s="91"/>
      <c r="IQ129" s="91"/>
      <c r="IR129" s="91"/>
      <c r="IS129" s="91"/>
      <c r="IT129" s="91"/>
      <c r="IU129" s="91"/>
      <c r="IV129" s="91"/>
    </row>
    <row r="130" s="92" customFormat="1" ht="20.1" customHeight="1" spans="1:256">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91"/>
      <c r="DY130" s="91"/>
      <c r="DZ130" s="91"/>
      <c r="EA130" s="91"/>
      <c r="EB130" s="91"/>
      <c r="EC130" s="91"/>
      <c r="ED130" s="91"/>
      <c r="EE130" s="91"/>
      <c r="EF130" s="91"/>
      <c r="EG130" s="91"/>
      <c r="EH130" s="91"/>
      <c r="EI130" s="91"/>
      <c r="EJ130" s="91"/>
      <c r="EK130" s="91"/>
      <c r="EL130" s="91"/>
      <c r="EM130" s="91"/>
      <c r="EN130" s="91"/>
      <c r="EO130" s="91"/>
      <c r="EP130" s="91"/>
      <c r="EQ130" s="91"/>
      <c r="ER130" s="91"/>
      <c r="ES130" s="91"/>
      <c r="ET130" s="91"/>
      <c r="EU130" s="91"/>
      <c r="EV130" s="91"/>
      <c r="EW130" s="91"/>
      <c r="EX130" s="91"/>
      <c r="EY130" s="91"/>
      <c r="EZ130" s="91"/>
      <c r="FA130" s="91"/>
      <c r="FB130" s="91"/>
      <c r="FC130" s="91"/>
      <c r="FD130" s="91"/>
      <c r="FE130" s="91"/>
      <c r="FF130" s="91"/>
      <c r="FG130" s="91"/>
      <c r="FH130" s="91"/>
      <c r="FI130" s="91"/>
      <c r="FJ130" s="91"/>
      <c r="FK130" s="91"/>
      <c r="FL130" s="91"/>
      <c r="FM130" s="91"/>
      <c r="FN130" s="91"/>
      <c r="FO130" s="91"/>
      <c r="FP130" s="91"/>
      <c r="FQ130" s="91"/>
      <c r="FR130" s="91"/>
      <c r="FS130" s="91"/>
      <c r="FT130" s="91"/>
      <c r="FU130" s="91"/>
      <c r="FV130" s="91"/>
      <c r="FW130" s="91"/>
      <c r="FX130" s="91"/>
      <c r="FY130" s="91"/>
      <c r="FZ130" s="91"/>
      <c r="GA130" s="91"/>
      <c r="GB130" s="91"/>
      <c r="GC130" s="91"/>
      <c r="GD130" s="91"/>
      <c r="GE130" s="91"/>
      <c r="GF130" s="91"/>
      <c r="GG130" s="91"/>
      <c r="GH130" s="91"/>
      <c r="GI130" s="91"/>
      <c r="GJ130" s="91"/>
      <c r="GK130" s="91"/>
      <c r="GL130" s="91"/>
      <c r="GM130" s="91"/>
      <c r="GN130" s="91"/>
      <c r="GO130" s="91"/>
      <c r="GP130" s="91"/>
      <c r="GQ130" s="91"/>
      <c r="GR130" s="91"/>
      <c r="GS130" s="91"/>
      <c r="GT130" s="91"/>
      <c r="GU130" s="91"/>
      <c r="GV130" s="91"/>
      <c r="GW130" s="91"/>
      <c r="GX130" s="91"/>
      <c r="GY130" s="91"/>
      <c r="GZ130" s="91"/>
      <c r="HA130" s="91"/>
      <c r="HB130" s="91"/>
      <c r="HC130" s="91"/>
      <c r="HD130" s="91"/>
      <c r="HE130" s="91"/>
      <c r="HF130" s="91"/>
      <c r="HG130" s="91"/>
      <c r="HH130" s="91"/>
      <c r="HI130" s="91"/>
      <c r="HJ130" s="91"/>
      <c r="HK130" s="91"/>
      <c r="HL130" s="91"/>
      <c r="HM130" s="91"/>
      <c r="HN130" s="91"/>
      <c r="HO130" s="91"/>
      <c r="HP130" s="91"/>
      <c r="HQ130" s="91"/>
      <c r="HR130" s="91"/>
      <c r="HS130" s="91"/>
      <c r="HT130" s="91"/>
      <c r="HU130" s="91"/>
      <c r="HV130" s="91"/>
      <c r="HW130" s="91"/>
      <c r="HX130" s="91"/>
      <c r="HY130" s="91"/>
      <c r="HZ130" s="91"/>
      <c r="IA130" s="91"/>
      <c r="IB130" s="91"/>
      <c r="IC130" s="91"/>
      <c r="ID130" s="91"/>
      <c r="IE130" s="91"/>
      <c r="IF130" s="91"/>
      <c r="IG130" s="91"/>
      <c r="IH130" s="91"/>
      <c r="II130" s="91"/>
      <c r="IJ130" s="91"/>
      <c r="IK130" s="91"/>
      <c r="IL130" s="91"/>
      <c r="IM130" s="91"/>
      <c r="IN130" s="91"/>
      <c r="IO130" s="91"/>
      <c r="IP130" s="91"/>
      <c r="IQ130" s="91"/>
      <c r="IR130" s="91"/>
      <c r="IS130" s="91"/>
      <c r="IT130" s="91"/>
      <c r="IU130" s="91"/>
      <c r="IV130" s="91"/>
    </row>
    <row r="131" s="92" customFormat="1" ht="20.1" customHeight="1" spans="1:256">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1"/>
      <c r="BQ131" s="91"/>
      <c r="BR131" s="91"/>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91"/>
      <c r="DY131" s="91"/>
      <c r="DZ131" s="91"/>
      <c r="EA131" s="91"/>
      <c r="EB131" s="91"/>
      <c r="EC131" s="91"/>
      <c r="ED131" s="91"/>
      <c r="EE131" s="91"/>
      <c r="EF131" s="91"/>
      <c r="EG131" s="91"/>
      <c r="EH131" s="91"/>
      <c r="EI131" s="91"/>
      <c r="EJ131" s="91"/>
      <c r="EK131" s="91"/>
      <c r="EL131" s="91"/>
      <c r="EM131" s="91"/>
      <c r="EN131" s="91"/>
      <c r="EO131" s="91"/>
      <c r="EP131" s="91"/>
      <c r="EQ131" s="91"/>
      <c r="ER131" s="91"/>
      <c r="ES131" s="91"/>
      <c r="ET131" s="91"/>
      <c r="EU131" s="91"/>
      <c r="EV131" s="91"/>
      <c r="EW131" s="91"/>
      <c r="EX131" s="91"/>
      <c r="EY131" s="91"/>
      <c r="EZ131" s="91"/>
      <c r="FA131" s="91"/>
      <c r="FB131" s="91"/>
      <c r="FC131" s="91"/>
      <c r="FD131" s="91"/>
      <c r="FE131" s="91"/>
      <c r="FF131" s="91"/>
      <c r="FG131" s="91"/>
      <c r="FH131" s="91"/>
      <c r="FI131" s="91"/>
      <c r="FJ131" s="91"/>
      <c r="FK131" s="91"/>
      <c r="FL131" s="91"/>
      <c r="FM131" s="91"/>
      <c r="FN131" s="91"/>
      <c r="FO131" s="91"/>
      <c r="FP131" s="91"/>
      <c r="FQ131" s="91"/>
      <c r="FR131" s="91"/>
      <c r="FS131" s="91"/>
      <c r="FT131" s="91"/>
      <c r="FU131" s="91"/>
      <c r="FV131" s="91"/>
      <c r="FW131" s="91"/>
      <c r="FX131" s="91"/>
      <c r="FY131" s="91"/>
      <c r="FZ131" s="91"/>
      <c r="GA131" s="91"/>
      <c r="GB131" s="91"/>
      <c r="GC131" s="91"/>
      <c r="GD131" s="91"/>
      <c r="GE131" s="91"/>
      <c r="GF131" s="91"/>
      <c r="GG131" s="91"/>
      <c r="GH131" s="91"/>
      <c r="GI131" s="91"/>
      <c r="GJ131" s="91"/>
      <c r="GK131" s="91"/>
      <c r="GL131" s="91"/>
      <c r="GM131" s="91"/>
      <c r="GN131" s="91"/>
      <c r="GO131" s="91"/>
      <c r="GP131" s="91"/>
      <c r="GQ131" s="91"/>
      <c r="GR131" s="91"/>
      <c r="GS131" s="91"/>
      <c r="GT131" s="91"/>
      <c r="GU131" s="91"/>
      <c r="GV131" s="91"/>
      <c r="GW131" s="91"/>
      <c r="GX131" s="91"/>
      <c r="GY131" s="91"/>
      <c r="GZ131" s="91"/>
      <c r="HA131" s="91"/>
      <c r="HB131" s="91"/>
      <c r="HC131" s="91"/>
      <c r="HD131" s="91"/>
      <c r="HE131" s="91"/>
      <c r="HF131" s="91"/>
      <c r="HG131" s="91"/>
      <c r="HH131" s="91"/>
      <c r="HI131" s="91"/>
      <c r="HJ131" s="91"/>
      <c r="HK131" s="91"/>
      <c r="HL131" s="91"/>
      <c r="HM131" s="91"/>
      <c r="HN131" s="91"/>
      <c r="HO131" s="91"/>
      <c r="HP131" s="91"/>
      <c r="HQ131" s="91"/>
      <c r="HR131" s="91"/>
      <c r="HS131" s="91"/>
      <c r="HT131" s="91"/>
      <c r="HU131" s="91"/>
      <c r="HV131" s="91"/>
      <c r="HW131" s="91"/>
      <c r="HX131" s="91"/>
      <c r="HY131" s="91"/>
      <c r="HZ131" s="91"/>
      <c r="IA131" s="91"/>
      <c r="IB131" s="91"/>
      <c r="IC131" s="91"/>
      <c r="ID131" s="91"/>
      <c r="IE131" s="91"/>
      <c r="IF131" s="91"/>
      <c r="IG131" s="91"/>
      <c r="IH131" s="91"/>
      <c r="II131" s="91"/>
      <c r="IJ131" s="91"/>
      <c r="IK131" s="91"/>
      <c r="IL131" s="91"/>
      <c r="IM131" s="91"/>
      <c r="IN131" s="91"/>
      <c r="IO131" s="91"/>
      <c r="IP131" s="91"/>
      <c r="IQ131" s="91"/>
      <c r="IR131" s="91"/>
      <c r="IS131" s="91"/>
      <c r="IT131" s="91"/>
      <c r="IU131" s="91"/>
      <c r="IV131" s="91"/>
    </row>
    <row r="132" s="92" customFormat="1" ht="20.1" customHeight="1" spans="1:256">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91"/>
      <c r="DY132" s="91"/>
      <c r="DZ132" s="91"/>
      <c r="EA132" s="91"/>
      <c r="EB132" s="91"/>
      <c r="EC132" s="91"/>
      <c r="ED132" s="91"/>
      <c r="EE132" s="91"/>
      <c r="EF132" s="91"/>
      <c r="EG132" s="91"/>
      <c r="EH132" s="91"/>
      <c r="EI132" s="91"/>
      <c r="EJ132" s="91"/>
      <c r="EK132" s="91"/>
      <c r="EL132" s="91"/>
      <c r="EM132" s="91"/>
      <c r="EN132" s="91"/>
      <c r="EO132" s="91"/>
      <c r="EP132" s="91"/>
      <c r="EQ132" s="91"/>
      <c r="ER132" s="91"/>
      <c r="ES132" s="91"/>
      <c r="ET132" s="91"/>
      <c r="EU132" s="91"/>
      <c r="EV132" s="91"/>
      <c r="EW132" s="91"/>
      <c r="EX132" s="91"/>
      <c r="EY132" s="91"/>
      <c r="EZ132" s="91"/>
      <c r="FA132" s="91"/>
      <c r="FB132" s="91"/>
      <c r="FC132" s="91"/>
      <c r="FD132" s="91"/>
      <c r="FE132" s="91"/>
      <c r="FF132" s="91"/>
      <c r="FG132" s="91"/>
      <c r="FH132" s="91"/>
      <c r="FI132" s="91"/>
      <c r="FJ132" s="91"/>
      <c r="FK132" s="91"/>
      <c r="FL132" s="91"/>
      <c r="FM132" s="91"/>
      <c r="FN132" s="91"/>
      <c r="FO132" s="91"/>
      <c r="FP132" s="91"/>
      <c r="FQ132" s="91"/>
      <c r="FR132" s="91"/>
      <c r="FS132" s="91"/>
      <c r="FT132" s="91"/>
      <c r="FU132" s="91"/>
      <c r="FV132" s="91"/>
      <c r="FW132" s="91"/>
      <c r="FX132" s="91"/>
      <c r="FY132" s="91"/>
      <c r="FZ132" s="91"/>
      <c r="GA132" s="91"/>
      <c r="GB132" s="91"/>
      <c r="GC132" s="91"/>
      <c r="GD132" s="91"/>
      <c r="GE132" s="91"/>
      <c r="GF132" s="91"/>
      <c r="GG132" s="91"/>
      <c r="GH132" s="91"/>
      <c r="GI132" s="91"/>
      <c r="GJ132" s="91"/>
      <c r="GK132" s="91"/>
      <c r="GL132" s="91"/>
      <c r="GM132" s="91"/>
      <c r="GN132" s="91"/>
      <c r="GO132" s="91"/>
      <c r="GP132" s="91"/>
      <c r="GQ132" s="91"/>
      <c r="GR132" s="91"/>
      <c r="GS132" s="91"/>
      <c r="GT132" s="91"/>
      <c r="GU132" s="91"/>
      <c r="GV132" s="91"/>
      <c r="GW132" s="91"/>
      <c r="GX132" s="91"/>
      <c r="GY132" s="91"/>
      <c r="GZ132" s="91"/>
      <c r="HA132" s="91"/>
      <c r="HB132" s="91"/>
      <c r="HC132" s="91"/>
      <c r="HD132" s="91"/>
      <c r="HE132" s="91"/>
      <c r="HF132" s="91"/>
      <c r="HG132" s="91"/>
      <c r="HH132" s="91"/>
      <c r="HI132" s="91"/>
      <c r="HJ132" s="91"/>
      <c r="HK132" s="91"/>
      <c r="HL132" s="91"/>
      <c r="HM132" s="91"/>
      <c r="HN132" s="91"/>
      <c r="HO132" s="91"/>
      <c r="HP132" s="91"/>
      <c r="HQ132" s="91"/>
      <c r="HR132" s="91"/>
      <c r="HS132" s="91"/>
      <c r="HT132" s="91"/>
      <c r="HU132" s="91"/>
      <c r="HV132" s="91"/>
      <c r="HW132" s="91"/>
      <c r="HX132" s="91"/>
      <c r="HY132" s="91"/>
      <c r="HZ132" s="91"/>
      <c r="IA132" s="91"/>
      <c r="IB132" s="91"/>
      <c r="IC132" s="91"/>
      <c r="ID132" s="91"/>
      <c r="IE132" s="91"/>
      <c r="IF132" s="91"/>
      <c r="IG132" s="91"/>
      <c r="IH132" s="91"/>
      <c r="II132" s="91"/>
      <c r="IJ132" s="91"/>
      <c r="IK132" s="91"/>
      <c r="IL132" s="91"/>
      <c r="IM132" s="91"/>
      <c r="IN132" s="91"/>
      <c r="IO132" s="91"/>
      <c r="IP132" s="91"/>
      <c r="IQ132" s="91"/>
      <c r="IR132" s="91"/>
      <c r="IS132" s="91"/>
      <c r="IT132" s="91"/>
      <c r="IU132" s="91"/>
      <c r="IV132" s="91"/>
    </row>
    <row r="133" s="92" customFormat="1" ht="20.1" customHeight="1" spans="1:256">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c r="BI133" s="91"/>
      <c r="BJ133" s="91"/>
      <c r="BK133" s="91"/>
      <c r="BL133" s="91"/>
      <c r="BM133" s="91"/>
      <c r="BN133" s="91"/>
      <c r="BO133" s="91"/>
      <c r="BP133" s="91"/>
      <c r="BQ133" s="91"/>
      <c r="BR133" s="91"/>
      <c r="BS133" s="91"/>
      <c r="BT133" s="91"/>
      <c r="BU133" s="91"/>
      <c r="BV133" s="91"/>
      <c r="BW133" s="91"/>
      <c r="BX133" s="91"/>
      <c r="BY133" s="91"/>
      <c r="BZ133" s="91"/>
      <c r="CA133" s="91"/>
      <c r="CB133" s="91"/>
      <c r="CC133" s="91"/>
      <c r="CD133" s="91"/>
      <c r="CE133" s="91"/>
      <c r="CF133" s="91"/>
      <c r="CG133" s="91"/>
      <c r="CH133" s="91"/>
      <c r="CI133" s="91"/>
      <c r="CJ133" s="91"/>
      <c r="CK133" s="91"/>
      <c r="CL133" s="91"/>
      <c r="CM133" s="91"/>
      <c r="CN133" s="91"/>
      <c r="CO133" s="91"/>
      <c r="CP133" s="91"/>
      <c r="CQ133" s="91"/>
      <c r="CR133" s="91"/>
      <c r="CS133" s="91"/>
      <c r="CT133" s="91"/>
      <c r="CU133" s="91"/>
      <c r="CV133" s="91"/>
      <c r="CW133" s="91"/>
      <c r="CX133" s="91"/>
      <c r="CY133" s="91"/>
      <c r="CZ133" s="91"/>
      <c r="DA133" s="91"/>
      <c r="DB133" s="91"/>
      <c r="DC133" s="91"/>
      <c r="DD133" s="91"/>
      <c r="DE133" s="91"/>
      <c r="DF133" s="91"/>
      <c r="DG133" s="91"/>
      <c r="DH133" s="91"/>
      <c r="DI133" s="91"/>
      <c r="DJ133" s="91"/>
      <c r="DK133" s="91"/>
      <c r="DL133" s="91"/>
      <c r="DM133" s="91"/>
      <c r="DN133" s="91"/>
      <c r="DO133" s="91"/>
      <c r="DP133" s="91"/>
      <c r="DQ133" s="91"/>
      <c r="DR133" s="91"/>
      <c r="DS133" s="91"/>
      <c r="DT133" s="91"/>
      <c r="DU133" s="91"/>
      <c r="DV133" s="91"/>
      <c r="DW133" s="91"/>
      <c r="DX133" s="91"/>
      <c r="DY133" s="91"/>
      <c r="DZ133" s="91"/>
      <c r="EA133" s="91"/>
      <c r="EB133" s="91"/>
      <c r="EC133" s="91"/>
      <c r="ED133" s="91"/>
      <c r="EE133" s="91"/>
      <c r="EF133" s="91"/>
      <c r="EG133" s="91"/>
      <c r="EH133" s="91"/>
      <c r="EI133" s="91"/>
      <c r="EJ133" s="91"/>
      <c r="EK133" s="91"/>
      <c r="EL133" s="91"/>
      <c r="EM133" s="91"/>
      <c r="EN133" s="91"/>
      <c r="EO133" s="91"/>
      <c r="EP133" s="91"/>
      <c r="EQ133" s="91"/>
      <c r="ER133" s="91"/>
      <c r="ES133" s="91"/>
      <c r="ET133" s="91"/>
      <c r="EU133" s="91"/>
      <c r="EV133" s="91"/>
      <c r="EW133" s="91"/>
      <c r="EX133" s="91"/>
      <c r="EY133" s="91"/>
      <c r="EZ133" s="91"/>
      <c r="FA133" s="91"/>
      <c r="FB133" s="91"/>
      <c r="FC133" s="91"/>
      <c r="FD133" s="91"/>
      <c r="FE133" s="91"/>
      <c r="FF133" s="91"/>
      <c r="FG133" s="91"/>
      <c r="FH133" s="91"/>
      <c r="FI133" s="91"/>
      <c r="FJ133" s="91"/>
      <c r="FK133" s="91"/>
      <c r="FL133" s="91"/>
      <c r="FM133" s="91"/>
      <c r="FN133" s="91"/>
      <c r="FO133" s="91"/>
      <c r="FP133" s="91"/>
      <c r="FQ133" s="91"/>
      <c r="FR133" s="91"/>
      <c r="FS133" s="91"/>
      <c r="FT133" s="91"/>
      <c r="FU133" s="91"/>
      <c r="FV133" s="91"/>
      <c r="FW133" s="91"/>
      <c r="FX133" s="91"/>
      <c r="FY133" s="91"/>
      <c r="FZ133" s="91"/>
      <c r="GA133" s="91"/>
      <c r="GB133" s="91"/>
      <c r="GC133" s="91"/>
      <c r="GD133" s="91"/>
      <c r="GE133" s="91"/>
      <c r="GF133" s="91"/>
      <c r="GG133" s="91"/>
      <c r="GH133" s="91"/>
      <c r="GI133" s="91"/>
      <c r="GJ133" s="91"/>
      <c r="GK133" s="91"/>
      <c r="GL133" s="91"/>
      <c r="GM133" s="91"/>
      <c r="GN133" s="91"/>
      <c r="GO133" s="91"/>
      <c r="GP133" s="91"/>
      <c r="GQ133" s="91"/>
      <c r="GR133" s="91"/>
      <c r="GS133" s="91"/>
      <c r="GT133" s="91"/>
      <c r="GU133" s="91"/>
      <c r="GV133" s="91"/>
      <c r="GW133" s="91"/>
      <c r="GX133" s="91"/>
      <c r="GY133" s="91"/>
      <c r="GZ133" s="91"/>
      <c r="HA133" s="91"/>
      <c r="HB133" s="91"/>
      <c r="HC133" s="91"/>
      <c r="HD133" s="91"/>
      <c r="HE133" s="91"/>
      <c r="HF133" s="91"/>
      <c r="HG133" s="91"/>
      <c r="HH133" s="91"/>
      <c r="HI133" s="91"/>
      <c r="HJ133" s="91"/>
      <c r="HK133" s="91"/>
      <c r="HL133" s="91"/>
      <c r="HM133" s="91"/>
      <c r="HN133" s="91"/>
      <c r="HO133" s="91"/>
      <c r="HP133" s="91"/>
      <c r="HQ133" s="91"/>
      <c r="HR133" s="91"/>
      <c r="HS133" s="91"/>
      <c r="HT133" s="91"/>
      <c r="HU133" s="91"/>
      <c r="HV133" s="91"/>
      <c r="HW133" s="91"/>
      <c r="HX133" s="91"/>
      <c r="HY133" s="91"/>
      <c r="HZ133" s="91"/>
      <c r="IA133" s="91"/>
      <c r="IB133" s="91"/>
      <c r="IC133" s="91"/>
      <c r="ID133" s="91"/>
      <c r="IE133" s="91"/>
      <c r="IF133" s="91"/>
      <c r="IG133" s="91"/>
      <c r="IH133" s="91"/>
      <c r="II133" s="91"/>
      <c r="IJ133" s="91"/>
      <c r="IK133" s="91"/>
      <c r="IL133" s="91"/>
      <c r="IM133" s="91"/>
      <c r="IN133" s="91"/>
      <c r="IO133" s="91"/>
      <c r="IP133" s="91"/>
      <c r="IQ133" s="91"/>
      <c r="IR133" s="91"/>
      <c r="IS133" s="91"/>
      <c r="IT133" s="91"/>
      <c r="IU133" s="91"/>
      <c r="IV133" s="91"/>
    </row>
    <row r="134" s="92" customFormat="1" ht="20.1" customHeight="1" spans="1:256">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c r="BL134" s="91"/>
      <c r="BM134" s="91"/>
      <c r="BN134" s="91"/>
      <c r="BO134" s="91"/>
      <c r="BP134" s="91"/>
      <c r="BQ134" s="91"/>
      <c r="BR134" s="91"/>
      <c r="BS134" s="91"/>
      <c r="BT134" s="91"/>
      <c r="BU134" s="91"/>
      <c r="BV134" s="91"/>
      <c r="BW134" s="91"/>
      <c r="BX134" s="91"/>
      <c r="BY134" s="91"/>
      <c r="BZ134" s="91"/>
      <c r="CA134" s="91"/>
      <c r="CB134" s="91"/>
      <c r="CC134" s="91"/>
      <c r="CD134" s="91"/>
      <c r="CE134" s="91"/>
      <c r="CF134" s="91"/>
      <c r="CG134" s="91"/>
      <c r="CH134" s="91"/>
      <c r="CI134" s="91"/>
      <c r="CJ134" s="91"/>
      <c r="CK134" s="91"/>
      <c r="CL134" s="91"/>
      <c r="CM134" s="91"/>
      <c r="CN134" s="91"/>
      <c r="CO134" s="91"/>
      <c r="CP134" s="91"/>
      <c r="CQ134" s="91"/>
      <c r="CR134" s="91"/>
      <c r="CS134" s="91"/>
      <c r="CT134" s="91"/>
      <c r="CU134" s="91"/>
      <c r="CV134" s="91"/>
      <c r="CW134" s="91"/>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1"/>
      <c r="DX134" s="91"/>
      <c r="DY134" s="91"/>
      <c r="DZ134" s="91"/>
      <c r="EA134" s="91"/>
      <c r="EB134" s="91"/>
      <c r="EC134" s="91"/>
      <c r="ED134" s="91"/>
      <c r="EE134" s="91"/>
      <c r="EF134" s="91"/>
      <c r="EG134" s="91"/>
      <c r="EH134" s="91"/>
      <c r="EI134" s="91"/>
      <c r="EJ134" s="91"/>
      <c r="EK134" s="91"/>
      <c r="EL134" s="91"/>
      <c r="EM134" s="91"/>
      <c r="EN134" s="91"/>
      <c r="EO134" s="91"/>
      <c r="EP134" s="91"/>
      <c r="EQ134" s="91"/>
      <c r="ER134" s="91"/>
      <c r="ES134" s="91"/>
      <c r="ET134" s="91"/>
      <c r="EU134" s="91"/>
      <c r="EV134" s="91"/>
      <c r="EW134" s="91"/>
      <c r="EX134" s="91"/>
      <c r="EY134" s="91"/>
      <c r="EZ134" s="91"/>
      <c r="FA134" s="91"/>
      <c r="FB134" s="91"/>
      <c r="FC134" s="91"/>
      <c r="FD134" s="91"/>
      <c r="FE134" s="91"/>
      <c r="FF134" s="91"/>
      <c r="FG134" s="91"/>
      <c r="FH134" s="91"/>
      <c r="FI134" s="91"/>
      <c r="FJ134" s="91"/>
      <c r="FK134" s="91"/>
      <c r="FL134" s="91"/>
      <c r="FM134" s="91"/>
      <c r="FN134" s="91"/>
      <c r="FO134" s="91"/>
      <c r="FP134" s="91"/>
      <c r="FQ134" s="91"/>
      <c r="FR134" s="91"/>
      <c r="FS134" s="91"/>
      <c r="FT134" s="91"/>
      <c r="FU134" s="91"/>
      <c r="FV134" s="91"/>
      <c r="FW134" s="91"/>
      <c r="FX134" s="91"/>
      <c r="FY134" s="91"/>
      <c r="FZ134" s="91"/>
      <c r="GA134" s="91"/>
      <c r="GB134" s="91"/>
      <c r="GC134" s="91"/>
      <c r="GD134" s="91"/>
      <c r="GE134" s="91"/>
      <c r="GF134" s="91"/>
      <c r="GG134" s="91"/>
      <c r="GH134" s="91"/>
      <c r="GI134" s="91"/>
      <c r="GJ134" s="91"/>
      <c r="GK134" s="91"/>
      <c r="GL134" s="91"/>
      <c r="GM134" s="91"/>
      <c r="GN134" s="91"/>
      <c r="GO134" s="91"/>
      <c r="GP134" s="91"/>
      <c r="GQ134" s="91"/>
      <c r="GR134" s="91"/>
      <c r="GS134" s="91"/>
      <c r="GT134" s="91"/>
      <c r="GU134" s="91"/>
      <c r="GV134" s="91"/>
      <c r="GW134" s="91"/>
      <c r="GX134" s="91"/>
      <c r="GY134" s="91"/>
      <c r="GZ134" s="91"/>
      <c r="HA134" s="91"/>
      <c r="HB134" s="91"/>
      <c r="HC134" s="91"/>
      <c r="HD134" s="91"/>
      <c r="HE134" s="91"/>
      <c r="HF134" s="91"/>
      <c r="HG134" s="91"/>
      <c r="HH134" s="91"/>
      <c r="HI134" s="91"/>
      <c r="HJ134" s="91"/>
      <c r="HK134" s="91"/>
      <c r="HL134" s="91"/>
      <c r="HM134" s="91"/>
      <c r="HN134" s="91"/>
      <c r="HO134" s="91"/>
      <c r="HP134" s="91"/>
      <c r="HQ134" s="91"/>
      <c r="HR134" s="91"/>
      <c r="HS134" s="91"/>
      <c r="HT134" s="91"/>
      <c r="HU134" s="91"/>
      <c r="HV134" s="91"/>
      <c r="HW134" s="91"/>
      <c r="HX134" s="91"/>
      <c r="HY134" s="91"/>
      <c r="HZ134" s="91"/>
      <c r="IA134" s="91"/>
      <c r="IB134" s="91"/>
      <c r="IC134" s="91"/>
      <c r="ID134" s="91"/>
      <c r="IE134" s="91"/>
      <c r="IF134" s="91"/>
      <c r="IG134" s="91"/>
      <c r="IH134" s="91"/>
      <c r="II134" s="91"/>
      <c r="IJ134" s="91"/>
      <c r="IK134" s="91"/>
      <c r="IL134" s="91"/>
      <c r="IM134" s="91"/>
      <c r="IN134" s="91"/>
      <c r="IO134" s="91"/>
      <c r="IP134" s="91"/>
      <c r="IQ134" s="91"/>
      <c r="IR134" s="91"/>
      <c r="IS134" s="91"/>
      <c r="IT134" s="91"/>
      <c r="IU134" s="91"/>
      <c r="IV134" s="91"/>
    </row>
    <row r="135" s="92" customFormat="1" ht="20.1" customHeight="1" spans="1:256">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c r="BL135" s="91"/>
      <c r="BM135" s="91"/>
      <c r="BN135" s="91"/>
      <c r="BO135" s="91"/>
      <c r="BP135" s="91"/>
      <c r="BQ135" s="91"/>
      <c r="BR135" s="91"/>
      <c r="BS135" s="91"/>
      <c r="BT135" s="91"/>
      <c r="BU135" s="91"/>
      <c r="BV135" s="91"/>
      <c r="BW135" s="91"/>
      <c r="BX135" s="91"/>
      <c r="BY135" s="91"/>
      <c r="BZ135" s="91"/>
      <c r="CA135" s="91"/>
      <c r="CB135" s="91"/>
      <c r="CC135" s="91"/>
      <c r="CD135" s="91"/>
      <c r="CE135" s="91"/>
      <c r="CF135" s="91"/>
      <c r="CG135" s="91"/>
      <c r="CH135" s="91"/>
      <c r="CI135" s="91"/>
      <c r="CJ135" s="91"/>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1"/>
      <c r="DJ135" s="91"/>
      <c r="DK135" s="91"/>
      <c r="DL135" s="91"/>
      <c r="DM135" s="91"/>
      <c r="DN135" s="91"/>
      <c r="DO135" s="91"/>
      <c r="DP135" s="91"/>
      <c r="DQ135" s="91"/>
      <c r="DR135" s="91"/>
      <c r="DS135" s="91"/>
      <c r="DT135" s="91"/>
      <c r="DU135" s="91"/>
      <c r="DV135" s="91"/>
      <c r="DW135" s="91"/>
      <c r="DX135" s="91"/>
      <c r="DY135" s="91"/>
      <c r="DZ135" s="91"/>
      <c r="EA135" s="91"/>
      <c r="EB135" s="91"/>
      <c r="EC135" s="91"/>
      <c r="ED135" s="91"/>
      <c r="EE135" s="91"/>
      <c r="EF135" s="91"/>
      <c r="EG135" s="91"/>
      <c r="EH135" s="91"/>
      <c r="EI135" s="91"/>
      <c r="EJ135" s="91"/>
      <c r="EK135" s="91"/>
      <c r="EL135" s="91"/>
      <c r="EM135" s="91"/>
      <c r="EN135" s="91"/>
      <c r="EO135" s="91"/>
      <c r="EP135" s="91"/>
      <c r="EQ135" s="91"/>
      <c r="ER135" s="91"/>
      <c r="ES135" s="91"/>
      <c r="ET135" s="91"/>
      <c r="EU135" s="91"/>
      <c r="EV135" s="91"/>
      <c r="EW135" s="91"/>
      <c r="EX135" s="91"/>
      <c r="EY135" s="91"/>
      <c r="EZ135" s="91"/>
      <c r="FA135" s="91"/>
      <c r="FB135" s="91"/>
      <c r="FC135" s="91"/>
      <c r="FD135" s="91"/>
      <c r="FE135" s="91"/>
      <c r="FF135" s="91"/>
      <c r="FG135" s="91"/>
      <c r="FH135" s="91"/>
      <c r="FI135" s="91"/>
      <c r="FJ135" s="91"/>
      <c r="FK135" s="91"/>
      <c r="FL135" s="91"/>
      <c r="FM135" s="91"/>
      <c r="FN135" s="91"/>
      <c r="FO135" s="91"/>
      <c r="FP135" s="91"/>
      <c r="FQ135" s="91"/>
      <c r="FR135" s="91"/>
      <c r="FS135" s="91"/>
      <c r="FT135" s="91"/>
      <c r="FU135" s="91"/>
      <c r="FV135" s="91"/>
      <c r="FW135" s="91"/>
      <c r="FX135" s="91"/>
      <c r="FY135" s="91"/>
      <c r="FZ135" s="91"/>
      <c r="GA135" s="91"/>
      <c r="GB135" s="91"/>
      <c r="GC135" s="91"/>
      <c r="GD135" s="91"/>
      <c r="GE135" s="91"/>
      <c r="GF135" s="91"/>
      <c r="GG135" s="91"/>
      <c r="GH135" s="91"/>
      <c r="GI135" s="91"/>
      <c r="GJ135" s="91"/>
      <c r="GK135" s="91"/>
      <c r="GL135" s="91"/>
      <c r="GM135" s="91"/>
      <c r="GN135" s="91"/>
      <c r="GO135" s="91"/>
      <c r="GP135" s="91"/>
      <c r="GQ135" s="91"/>
      <c r="GR135" s="91"/>
      <c r="GS135" s="91"/>
      <c r="GT135" s="91"/>
      <c r="GU135" s="91"/>
      <c r="GV135" s="91"/>
      <c r="GW135" s="91"/>
      <c r="GX135" s="91"/>
      <c r="GY135" s="91"/>
      <c r="GZ135" s="91"/>
      <c r="HA135" s="91"/>
      <c r="HB135" s="91"/>
      <c r="HC135" s="91"/>
      <c r="HD135" s="91"/>
      <c r="HE135" s="91"/>
      <c r="HF135" s="91"/>
      <c r="HG135" s="91"/>
      <c r="HH135" s="91"/>
      <c r="HI135" s="91"/>
      <c r="HJ135" s="91"/>
      <c r="HK135" s="91"/>
      <c r="HL135" s="91"/>
      <c r="HM135" s="91"/>
      <c r="HN135" s="91"/>
      <c r="HO135" s="91"/>
      <c r="HP135" s="91"/>
      <c r="HQ135" s="91"/>
      <c r="HR135" s="91"/>
      <c r="HS135" s="91"/>
      <c r="HT135" s="91"/>
      <c r="HU135" s="91"/>
      <c r="HV135" s="91"/>
      <c r="HW135" s="91"/>
      <c r="HX135" s="91"/>
      <c r="HY135" s="91"/>
      <c r="HZ135" s="91"/>
      <c r="IA135" s="91"/>
      <c r="IB135" s="91"/>
      <c r="IC135" s="91"/>
      <c r="ID135" s="91"/>
      <c r="IE135" s="91"/>
      <c r="IF135" s="91"/>
      <c r="IG135" s="91"/>
      <c r="IH135" s="91"/>
      <c r="II135" s="91"/>
      <c r="IJ135" s="91"/>
      <c r="IK135" s="91"/>
      <c r="IL135" s="91"/>
      <c r="IM135" s="91"/>
      <c r="IN135" s="91"/>
      <c r="IO135" s="91"/>
      <c r="IP135" s="91"/>
      <c r="IQ135" s="91"/>
      <c r="IR135" s="91"/>
      <c r="IS135" s="91"/>
      <c r="IT135" s="91"/>
      <c r="IU135" s="91"/>
      <c r="IV135" s="91"/>
    </row>
    <row r="136" s="92" customFormat="1" ht="20.1" customHeight="1" spans="1:256">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91"/>
      <c r="BK136" s="91"/>
      <c r="BL136" s="91"/>
      <c r="BM136" s="91"/>
      <c r="BN136" s="91"/>
      <c r="BO136" s="91"/>
      <c r="BP136" s="91"/>
      <c r="BQ136" s="91"/>
      <c r="BR136" s="91"/>
      <c r="BS136" s="91"/>
      <c r="BT136" s="91"/>
      <c r="BU136" s="91"/>
      <c r="BV136" s="91"/>
      <c r="BW136" s="91"/>
      <c r="BX136" s="91"/>
      <c r="BY136" s="91"/>
      <c r="BZ136" s="91"/>
      <c r="CA136" s="91"/>
      <c r="CB136" s="91"/>
      <c r="CC136" s="91"/>
      <c r="CD136" s="91"/>
      <c r="CE136" s="91"/>
      <c r="CF136" s="91"/>
      <c r="CG136" s="91"/>
      <c r="CH136" s="91"/>
      <c r="CI136" s="91"/>
      <c r="CJ136" s="91"/>
      <c r="CK136" s="91"/>
      <c r="CL136" s="91"/>
      <c r="CM136" s="91"/>
      <c r="CN136" s="91"/>
      <c r="CO136" s="91"/>
      <c r="CP136" s="91"/>
      <c r="CQ136" s="91"/>
      <c r="CR136" s="91"/>
      <c r="CS136" s="91"/>
      <c r="CT136" s="91"/>
      <c r="CU136" s="91"/>
      <c r="CV136" s="91"/>
      <c r="CW136" s="91"/>
      <c r="CX136" s="91"/>
      <c r="CY136" s="91"/>
      <c r="CZ136" s="91"/>
      <c r="DA136" s="91"/>
      <c r="DB136" s="91"/>
      <c r="DC136" s="91"/>
      <c r="DD136" s="91"/>
      <c r="DE136" s="91"/>
      <c r="DF136" s="91"/>
      <c r="DG136" s="91"/>
      <c r="DH136" s="91"/>
      <c r="DI136" s="91"/>
      <c r="DJ136" s="91"/>
      <c r="DK136" s="91"/>
      <c r="DL136" s="91"/>
      <c r="DM136" s="91"/>
      <c r="DN136" s="91"/>
      <c r="DO136" s="91"/>
      <c r="DP136" s="91"/>
      <c r="DQ136" s="91"/>
      <c r="DR136" s="91"/>
      <c r="DS136" s="91"/>
      <c r="DT136" s="91"/>
      <c r="DU136" s="91"/>
      <c r="DV136" s="91"/>
      <c r="DW136" s="91"/>
      <c r="DX136" s="91"/>
      <c r="DY136" s="91"/>
      <c r="DZ136" s="91"/>
      <c r="EA136" s="91"/>
      <c r="EB136" s="91"/>
      <c r="EC136" s="91"/>
      <c r="ED136" s="91"/>
      <c r="EE136" s="91"/>
      <c r="EF136" s="91"/>
      <c r="EG136" s="91"/>
      <c r="EH136" s="91"/>
      <c r="EI136" s="91"/>
      <c r="EJ136" s="91"/>
      <c r="EK136" s="91"/>
      <c r="EL136" s="91"/>
      <c r="EM136" s="91"/>
      <c r="EN136" s="91"/>
      <c r="EO136" s="91"/>
      <c r="EP136" s="91"/>
      <c r="EQ136" s="91"/>
      <c r="ER136" s="91"/>
      <c r="ES136" s="91"/>
      <c r="ET136" s="91"/>
      <c r="EU136" s="91"/>
      <c r="EV136" s="91"/>
      <c r="EW136" s="91"/>
      <c r="EX136" s="91"/>
      <c r="EY136" s="91"/>
      <c r="EZ136" s="91"/>
      <c r="FA136" s="91"/>
      <c r="FB136" s="91"/>
      <c r="FC136" s="91"/>
      <c r="FD136" s="91"/>
      <c r="FE136" s="91"/>
      <c r="FF136" s="91"/>
      <c r="FG136" s="91"/>
      <c r="FH136" s="91"/>
      <c r="FI136" s="91"/>
      <c r="FJ136" s="91"/>
      <c r="FK136" s="91"/>
      <c r="FL136" s="91"/>
      <c r="FM136" s="91"/>
      <c r="FN136" s="91"/>
      <c r="FO136" s="91"/>
      <c r="FP136" s="91"/>
      <c r="FQ136" s="91"/>
      <c r="FR136" s="91"/>
      <c r="FS136" s="91"/>
      <c r="FT136" s="91"/>
      <c r="FU136" s="91"/>
      <c r="FV136" s="91"/>
      <c r="FW136" s="91"/>
      <c r="FX136" s="91"/>
      <c r="FY136" s="91"/>
      <c r="FZ136" s="91"/>
      <c r="GA136" s="91"/>
      <c r="GB136" s="91"/>
      <c r="GC136" s="91"/>
      <c r="GD136" s="91"/>
      <c r="GE136" s="91"/>
      <c r="GF136" s="91"/>
      <c r="GG136" s="91"/>
      <c r="GH136" s="91"/>
      <c r="GI136" s="91"/>
      <c r="GJ136" s="91"/>
      <c r="GK136" s="91"/>
      <c r="GL136" s="91"/>
      <c r="GM136" s="91"/>
      <c r="GN136" s="91"/>
      <c r="GO136" s="91"/>
      <c r="GP136" s="91"/>
      <c r="GQ136" s="91"/>
      <c r="GR136" s="91"/>
      <c r="GS136" s="91"/>
      <c r="GT136" s="91"/>
      <c r="GU136" s="91"/>
      <c r="GV136" s="91"/>
      <c r="GW136" s="91"/>
      <c r="GX136" s="91"/>
      <c r="GY136" s="91"/>
      <c r="GZ136" s="91"/>
      <c r="HA136" s="91"/>
      <c r="HB136" s="91"/>
      <c r="HC136" s="91"/>
      <c r="HD136" s="91"/>
      <c r="HE136" s="91"/>
      <c r="HF136" s="91"/>
      <c r="HG136" s="91"/>
      <c r="HH136" s="91"/>
      <c r="HI136" s="91"/>
      <c r="HJ136" s="91"/>
      <c r="HK136" s="91"/>
      <c r="HL136" s="91"/>
      <c r="HM136" s="91"/>
      <c r="HN136" s="91"/>
      <c r="HO136" s="91"/>
      <c r="HP136" s="91"/>
      <c r="HQ136" s="91"/>
      <c r="HR136" s="91"/>
      <c r="HS136" s="91"/>
      <c r="HT136" s="91"/>
      <c r="HU136" s="91"/>
      <c r="HV136" s="91"/>
      <c r="HW136" s="91"/>
      <c r="HX136" s="91"/>
      <c r="HY136" s="91"/>
      <c r="HZ136" s="91"/>
      <c r="IA136" s="91"/>
      <c r="IB136" s="91"/>
      <c r="IC136" s="91"/>
      <c r="ID136" s="91"/>
      <c r="IE136" s="91"/>
      <c r="IF136" s="91"/>
      <c r="IG136" s="91"/>
      <c r="IH136" s="91"/>
      <c r="II136" s="91"/>
      <c r="IJ136" s="91"/>
      <c r="IK136" s="91"/>
      <c r="IL136" s="91"/>
      <c r="IM136" s="91"/>
      <c r="IN136" s="91"/>
      <c r="IO136" s="91"/>
      <c r="IP136" s="91"/>
      <c r="IQ136" s="91"/>
      <c r="IR136" s="91"/>
      <c r="IS136" s="91"/>
      <c r="IT136" s="91"/>
      <c r="IU136" s="91"/>
      <c r="IV136" s="91"/>
    </row>
    <row r="137" s="92" customFormat="1" ht="20.1" customHeight="1" spans="1:256">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91"/>
      <c r="BK137" s="91"/>
      <c r="BL137" s="91"/>
      <c r="BM137" s="91"/>
      <c r="BN137" s="91"/>
      <c r="BO137" s="91"/>
      <c r="BP137" s="91"/>
      <c r="BQ137" s="91"/>
      <c r="BR137" s="91"/>
      <c r="BS137" s="91"/>
      <c r="BT137" s="91"/>
      <c r="BU137" s="91"/>
      <c r="BV137" s="91"/>
      <c r="BW137" s="91"/>
      <c r="BX137" s="91"/>
      <c r="BY137" s="91"/>
      <c r="BZ137" s="91"/>
      <c r="CA137" s="91"/>
      <c r="CB137" s="91"/>
      <c r="CC137" s="91"/>
      <c r="CD137" s="91"/>
      <c r="CE137" s="91"/>
      <c r="CF137" s="91"/>
      <c r="CG137" s="91"/>
      <c r="CH137" s="91"/>
      <c r="CI137" s="91"/>
      <c r="CJ137" s="91"/>
      <c r="CK137" s="91"/>
      <c r="CL137" s="91"/>
      <c r="CM137" s="91"/>
      <c r="CN137" s="91"/>
      <c r="CO137" s="91"/>
      <c r="CP137" s="91"/>
      <c r="CQ137" s="91"/>
      <c r="CR137" s="91"/>
      <c r="CS137" s="91"/>
      <c r="CT137" s="91"/>
      <c r="CU137" s="91"/>
      <c r="CV137" s="91"/>
      <c r="CW137" s="91"/>
      <c r="CX137" s="91"/>
      <c r="CY137" s="91"/>
      <c r="CZ137" s="91"/>
      <c r="DA137" s="91"/>
      <c r="DB137" s="91"/>
      <c r="DC137" s="91"/>
      <c r="DD137" s="91"/>
      <c r="DE137" s="91"/>
      <c r="DF137" s="91"/>
      <c r="DG137" s="91"/>
      <c r="DH137" s="91"/>
      <c r="DI137" s="91"/>
      <c r="DJ137" s="91"/>
      <c r="DK137" s="91"/>
      <c r="DL137" s="91"/>
      <c r="DM137" s="91"/>
      <c r="DN137" s="91"/>
      <c r="DO137" s="91"/>
      <c r="DP137" s="91"/>
      <c r="DQ137" s="91"/>
      <c r="DR137" s="91"/>
      <c r="DS137" s="91"/>
      <c r="DT137" s="91"/>
      <c r="DU137" s="91"/>
      <c r="DV137" s="91"/>
      <c r="DW137" s="91"/>
      <c r="DX137" s="91"/>
      <c r="DY137" s="91"/>
      <c r="DZ137" s="91"/>
      <c r="EA137" s="91"/>
      <c r="EB137" s="91"/>
      <c r="EC137" s="91"/>
      <c r="ED137" s="91"/>
      <c r="EE137" s="91"/>
      <c r="EF137" s="91"/>
      <c r="EG137" s="91"/>
      <c r="EH137" s="91"/>
      <c r="EI137" s="91"/>
      <c r="EJ137" s="91"/>
      <c r="EK137" s="91"/>
      <c r="EL137" s="91"/>
      <c r="EM137" s="91"/>
      <c r="EN137" s="91"/>
      <c r="EO137" s="91"/>
      <c r="EP137" s="91"/>
      <c r="EQ137" s="91"/>
      <c r="ER137" s="91"/>
      <c r="ES137" s="91"/>
      <c r="ET137" s="91"/>
      <c r="EU137" s="91"/>
      <c r="EV137" s="91"/>
      <c r="EW137" s="91"/>
      <c r="EX137" s="91"/>
      <c r="EY137" s="91"/>
      <c r="EZ137" s="91"/>
      <c r="FA137" s="91"/>
      <c r="FB137" s="91"/>
      <c r="FC137" s="91"/>
      <c r="FD137" s="91"/>
      <c r="FE137" s="91"/>
      <c r="FF137" s="91"/>
      <c r="FG137" s="91"/>
      <c r="FH137" s="91"/>
      <c r="FI137" s="91"/>
      <c r="FJ137" s="91"/>
      <c r="FK137" s="91"/>
      <c r="FL137" s="91"/>
      <c r="FM137" s="91"/>
      <c r="FN137" s="91"/>
      <c r="FO137" s="91"/>
      <c r="FP137" s="91"/>
      <c r="FQ137" s="91"/>
      <c r="FR137" s="91"/>
      <c r="FS137" s="91"/>
      <c r="FT137" s="91"/>
      <c r="FU137" s="91"/>
      <c r="FV137" s="91"/>
      <c r="FW137" s="91"/>
      <c r="FX137" s="91"/>
      <c r="FY137" s="91"/>
      <c r="FZ137" s="91"/>
      <c r="GA137" s="91"/>
      <c r="GB137" s="91"/>
      <c r="GC137" s="91"/>
      <c r="GD137" s="91"/>
      <c r="GE137" s="91"/>
      <c r="GF137" s="91"/>
      <c r="GG137" s="91"/>
      <c r="GH137" s="91"/>
      <c r="GI137" s="91"/>
      <c r="GJ137" s="91"/>
      <c r="GK137" s="91"/>
      <c r="GL137" s="91"/>
      <c r="GM137" s="91"/>
      <c r="GN137" s="91"/>
      <c r="GO137" s="91"/>
      <c r="GP137" s="91"/>
      <c r="GQ137" s="91"/>
      <c r="GR137" s="91"/>
      <c r="GS137" s="91"/>
      <c r="GT137" s="91"/>
      <c r="GU137" s="91"/>
      <c r="GV137" s="91"/>
      <c r="GW137" s="91"/>
      <c r="GX137" s="91"/>
      <c r="GY137" s="91"/>
      <c r="GZ137" s="91"/>
      <c r="HA137" s="91"/>
      <c r="HB137" s="91"/>
      <c r="HC137" s="91"/>
      <c r="HD137" s="91"/>
      <c r="HE137" s="91"/>
      <c r="HF137" s="91"/>
      <c r="HG137" s="91"/>
      <c r="HH137" s="91"/>
      <c r="HI137" s="91"/>
      <c r="HJ137" s="91"/>
      <c r="HK137" s="91"/>
      <c r="HL137" s="91"/>
      <c r="HM137" s="91"/>
      <c r="HN137" s="91"/>
      <c r="HO137" s="91"/>
      <c r="HP137" s="91"/>
      <c r="HQ137" s="91"/>
      <c r="HR137" s="91"/>
      <c r="HS137" s="91"/>
      <c r="HT137" s="91"/>
      <c r="HU137" s="91"/>
      <c r="HV137" s="91"/>
      <c r="HW137" s="91"/>
      <c r="HX137" s="91"/>
      <c r="HY137" s="91"/>
      <c r="HZ137" s="91"/>
      <c r="IA137" s="91"/>
      <c r="IB137" s="91"/>
      <c r="IC137" s="91"/>
      <c r="ID137" s="91"/>
      <c r="IE137" s="91"/>
      <c r="IF137" s="91"/>
      <c r="IG137" s="91"/>
      <c r="IH137" s="91"/>
      <c r="II137" s="91"/>
      <c r="IJ137" s="91"/>
      <c r="IK137" s="91"/>
      <c r="IL137" s="91"/>
      <c r="IM137" s="91"/>
      <c r="IN137" s="91"/>
      <c r="IO137" s="91"/>
      <c r="IP137" s="91"/>
      <c r="IQ137" s="91"/>
      <c r="IR137" s="91"/>
      <c r="IS137" s="91"/>
      <c r="IT137" s="91"/>
      <c r="IU137" s="91"/>
      <c r="IV137" s="91"/>
    </row>
    <row r="138" s="92" customFormat="1" ht="20.1" customHeight="1" spans="1:256">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c r="BI138" s="91"/>
      <c r="BJ138" s="91"/>
      <c r="BK138" s="91"/>
      <c r="BL138" s="91"/>
      <c r="BM138" s="91"/>
      <c r="BN138" s="91"/>
      <c r="BO138" s="91"/>
      <c r="BP138" s="91"/>
      <c r="BQ138" s="91"/>
      <c r="BR138" s="91"/>
      <c r="BS138" s="91"/>
      <c r="BT138" s="91"/>
      <c r="BU138" s="91"/>
      <c r="BV138" s="91"/>
      <c r="BW138" s="91"/>
      <c r="BX138" s="91"/>
      <c r="BY138" s="91"/>
      <c r="BZ138" s="91"/>
      <c r="CA138" s="91"/>
      <c r="CB138" s="91"/>
      <c r="CC138" s="91"/>
      <c r="CD138" s="91"/>
      <c r="CE138" s="91"/>
      <c r="CF138" s="91"/>
      <c r="CG138" s="91"/>
      <c r="CH138" s="91"/>
      <c r="CI138" s="91"/>
      <c r="CJ138" s="91"/>
      <c r="CK138" s="91"/>
      <c r="CL138" s="91"/>
      <c r="CM138" s="91"/>
      <c r="CN138" s="91"/>
      <c r="CO138" s="91"/>
      <c r="CP138" s="91"/>
      <c r="CQ138" s="91"/>
      <c r="CR138" s="91"/>
      <c r="CS138" s="91"/>
      <c r="CT138" s="91"/>
      <c r="CU138" s="91"/>
      <c r="CV138" s="91"/>
      <c r="CW138" s="91"/>
      <c r="CX138" s="91"/>
      <c r="CY138" s="91"/>
      <c r="CZ138" s="91"/>
      <c r="DA138" s="91"/>
      <c r="DB138" s="91"/>
      <c r="DC138" s="91"/>
      <c r="DD138" s="91"/>
      <c r="DE138" s="91"/>
      <c r="DF138" s="91"/>
      <c r="DG138" s="91"/>
      <c r="DH138" s="91"/>
      <c r="DI138" s="91"/>
      <c r="DJ138" s="91"/>
      <c r="DK138" s="91"/>
      <c r="DL138" s="91"/>
      <c r="DM138" s="91"/>
      <c r="DN138" s="91"/>
      <c r="DO138" s="91"/>
      <c r="DP138" s="91"/>
      <c r="DQ138" s="91"/>
      <c r="DR138" s="91"/>
      <c r="DS138" s="91"/>
      <c r="DT138" s="91"/>
      <c r="DU138" s="91"/>
      <c r="DV138" s="91"/>
      <c r="DW138" s="91"/>
      <c r="DX138" s="91"/>
      <c r="DY138" s="91"/>
      <c r="DZ138" s="91"/>
      <c r="EA138" s="91"/>
      <c r="EB138" s="91"/>
      <c r="EC138" s="91"/>
      <c r="ED138" s="91"/>
      <c r="EE138" s="91"/>
      <c r="EF138" s="91"/>
      <c r="EG138" s="91"/>
      <c r="EH138" s="91"/>
      <c r="EI138" s="91"/>
      <c r="EJ138" s="91"/>
      <c r="EK138" s="91"/>
      <c r="EL138" s="91"/>
      <c r="EM138" s="91"/>
      <c r="EN138" s="91"/>
      <c r="EO138" s="91"/>
      <c r="EP138" s="91"/>
      <c r="EQ138" s="91"/>
      <c r="ER138" s="91"/>
      <c r="ES138" s="91"/>
      <c r="ET138" s="91"/>
      <c r="EU138" s="91"/>
      <c r="EV138" s="91"/>
      <c r="EW138" s="91"/>
      <c r="EX138" s="91"/>
      <c r="EY138" s="91"/>
      <c r="EZ138" s="91"/>
      <c r="FA138" s="91"/>
      <c r="FB138" s="91"/>
      <c r="FC138" s="91"/>
      <c r="FD138" s="91"/>
      <c r="FE138" s="91"/>
      <c r="FF138" s="91"/>
      <c r="FG138" s="91"/>
      <c r="FH138" s="91"/>
      <c r="FI138" s="91"/>
      <c r="FJ138" s="91"/>
      <c r="FK138" s="91"/>
      <c r="FL138" s="91"/>
      <c r="FM138" s="91"/>
      <c r="FN138" s="91"/>
      <c r="FO138" s="91"/>
      <c r="FP138" s="91"/>
      <c r="FQ138" s="91"/>
      <c r="FR138" s="91"/>
      <c r="FS138" s="91"/>
      <c r="FT138" s="91"/>
      <c r="FU138" s="91"/>
      <c r="FV138" s="91"/>
      <c r="FW138" s="91"/>
      <c r="FX138" s="91"/>
      <c r="FY138" s="91"/>
      <c r="FZ138" s="91"/>
      <c r="GA138" s="91"/>
      <c r="GB138" s="91"/>
      <c r="GC138" s="91"/>
      <c r="GD138" s="91"/>
      <c r="GE138" s="91"/>
      <c r="GF138" s="91"/>
      <c r="GG138" s="91"/>
      <c r="GH138" s="91"/>
      <c r="GI138" s="91"/>
      <c r="GJ138" s="91"/>
      <c r="GK138" s="91"/>
      <c r="GL138" s="91"/>
      <c r="GM138" s="91"/>
      <c r="GN138" s="91"/>
      <c r="GO138" s="91"/>
      <c r="GP138" s="91"/>
      <c r="GQ138" s="91"/>
      <c r="GR138" s="91"/>
      <c r="GS138" s="91"/>
      <c r="GT138" s="91"/>
      <c r="GU138" s="91"/>
      <c r="GV138" s="91"/>
      <c r="GW138" s="91"/>
      <c r="GX138" s="91"/>
      <c r="GY138" s="91"/>
      <c r="GZ138" s="91"/>
      <c r="HA138" s="91"/>
      <c r="HB138" s="91"/>
      <c r="HC138" s="91"/>
      <c r="HD138" s="91"/>
      <c r="HE138" s="91"/>
      <c r="HF138" s="91"/>
      <c r="HG138" s="91"/>
      <c r="HH138" s="91"/>
      <c r="HI138" s="91"/>
      <c r="HJ138" s="91"/>
      <c r="HK138" s="91"/>
      <c r="HL138" s="91"/>
      <c r="HM138" s="91"/>
      <c r="HN138" s="91"/>
      <c r="HO138" s="91"/>
      <c r="HP138" s="91"/>
      <c r="HQ138" s="91"/>
      <c r="HR138" s="91"/>
      <c r="HS138" s="91"/>
      <c r="HT138" s="91"/>
      <c r="HU138" s="91"/>
      <c r="HV138" s="91"/>
      <c r="HW138" s="91"/>
      <c r="HX138" s="91"/>
      <c r="HY138" s="91"/>
      <c r="HZ138" s="91"/>
      <c r="IA138" s="91"/>
      <c r="IB138" s="91"/>
      <c r="IC138" s="91"/>
      <c r="ID138" s="91"/>
      <c r="IE138" s="91"/>
      <c r="IF138" s="91"/>
      <c r="IG138" s="91"/>
      <c r="IH138" s="91"/>
      <c r="II138" s="91"/>
      <c r="IJ138" s="91"/>
      <c r="IK138" s="91"/>
      <c r="IL138" s="91"/>
      <c r="IM138" s="91"/>
      <c r="IN138" s="91"/>
      <c r="IO138" s="91"/>
      <c r="IP138" s="91"/>
      <c r="IQ138" s="91"/>
      <c r="IR138" s="91"/>
      <c r="IS138" s="91"/>
      <c r="IT138" s="91"/>
      <c r="IU138" s="91"/>
      <c r="IV138" s="91"/>
    </row>
    <row r="139" s="92" customFormat="1" ht="20.1" customHeight="1" spans="1:256">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c r="BI139" s="91"/>
      <c r="BJ139" s="91"/>
      <c r="BK139" s="91"/>
      <c r="BL139" s="91"/>
      <c r="BM139" s="91"/>
      <c r="BN139" s="91"/>
      <c r="BO139" s="91"/>
      <c r="BP139" s="91"/>
      <c r="BQ139" s="91"/>
      <c r="BR139" s="91"/>
      <c r="BS139" s="91"/>
      <c r="BT139" s="91"/>
      <c r="BU139" s="91"/>
      <c r="BV139" s="91"/>
      <c r="BW139" s="91"/>
      <c r="BX139" s="91"/>
      <c r="BY139" s="91"/>
      <c r="BZ139" s="91"/>
      <c r="CA139" s="91"/>
      <c r="CB139" s="91"/>
      <c r="CC139" s="91"/>
      <c r="CD139" s="91"/>
      <c r="CE139" s="91"/>
      <c r="CF139" s="91"/>
      <c r="CG139" s="91"/>
      <c r="CH139" s="91"/>
      <c r="CI139" s="91"/>
      <c r="CJ139" s="91"/>
      <c r="CK139" s="91"/>
      <c r="CL139" s="91"/>
      <c r="CM139" s="91"/>
      <c r="CN139" s="91"/>
      <c r="CO139" s="91"/>
      <c r="CP139" s="91"/>
      <c r="CQ139" s="91"/>
      <c r="CR139" s="91"/>
      <c r="CS139" s="91"/>
      <c r="CT139" s="91"/>
      <c r="CU139" s="91"/>
      <c r="CV139" s="91"/>
      <c r="CW139" s="91"/>
      <c r="CX139" s="91"/>
      <c r="CY139" s="91"/>
      <c r="CZ139" s="91"/>
      <c r="DA139" s="91"/>
      <c r="DB139" s="91"/>
      <c r="DC139" s="91"/>
      <c r="DD139" s="91"/>
      <c r="DE139" s="91"/>
      <c r="DF139" s="91"/>
      <c r="DG139" s="91"/>
      <c r="DH139" s="91"/>
      <c r="DI139" s="91"/>
      <c r="DJ139" s="91"/>
      <c r="DK139" s="91"/>
      <c r="DL139" s="91"/>
      <c r="DM139" s="91"/>
      <c r="DN139" s="91"/>
      <c r="DO139" s="91"/>
      <c r="DP139" s="91"/>
      <c r="DQ139" s="91"/>
      <c r="DR139" s="91"/>
      <c r="DS139" s="91"/>
      <c r="DT139" s="91"/>
      <c r="DU139" s="91"/>
      <c r="DV139" s="91"/>
      <c r="DW139" s="91"/>
      <c r="DX139" s="91"/>
      <c r="DY139" s="91"/>
      <c r="DZ139" s="91"/>
      <c r="EA139" s="91"/>
      <c r="EB139" s="91"/>
      <c r="EC139" s="91"/>
      <c r="ED139" s="91"/>
      <c r="EE139" s="91"/>
      <c r="EF139" s="91"/>
      <c r="EG139" s="91"/>
      <c r="EH139" s="91"/>
      <c r="EI139" s="91"/>
      <c r="EJ139" s="91"/>
      <c r="EK139" s="91"/>
      <c r="EL139" s="91"/>
      <c r="EM139" s="91"/>
      <c r="EN139" s="91"/>
      <c r="EO139" s="91"/>
      <c r="EP139" s="91"/>
      <c r="EQ139" s="91"/>
      <c r="ER139" s="91"/>
      <c r="ES139" s="91"/>
      <c r="ET139" s="91"/>
      <c r="EU139" s="91"/>
      <c r="EV139" s="91"/>
      <c r="EW139" s="91"/>
      <c r="EX139" s="91"/>
      <c r="EY139" s="91"/>
      <c r="EZ139" s="91"/>
      <c r="FA139" s="91"/>
      <c r="FB139" s="91"/>
      <c r="FC139" s="91"/>
      <c r="FD139" s="91"/>
      <c r="FE139" s="91"/>
      <c r="FF139" s="91"/>
      <c r="FG139" s="91"/>
      <c r="FH139" s="91"/>
      <c r="FI139" s="91"/>
      <c r="FJ139" s="91"/>
      <c r="FK139" s="91"/>
      <c r="FL139" s="91"/>
      <c r="FM139" s="91"/>
      <c r="FN139" s="91"/>
      <c r="FO139" s="91"/>
      <c r="FP139" s="91"/>
      <c r="FQ139" s="91"/>
      <c r="FR139" s="91"/>
      <c r="FS139" s="91"/>
      <c r="FT139" s="91"/>
      <c r="FU139" s="91"/>
      <c r="FV139" s="91"/>
      <c r="FW139" s="91"/>
      <c r="FX139" s="91"/>
      <c r="FY139" s="91"/>
      <c r="FZ139" s="91"/>
      <c r="GA139" s="91"/>
      <c r="GB139" s="91"/>
      <c r="GC139" s="91"/>
      <c r="GD139" s="91"/>
      <c r="GE139" s="91"/>
      <c r="GF139" s="91"/>
      <c r="GG139" s="91"/>
      <c r="GH139" s="91"/>
      <c r="GI139" s="91"/>
      <c r="GJ139" s="91"/>
      <c r="GK139" s="91"/>
      <c r="GL139" s="91"/>
      <c r="GM139" s="91"/>
      <c r="GN139" s="91"/>
      <c r="GO139" s="91"/>
      <c r="GP139" s="91"/>
      <c r="GQ139" s="91"/>
      <c r="GR139" s="91"/>
      <c r="GS139" s="91"/>
      <c r="GT139" s="91"/>
      <c r="GU139" s="91"/>
      <c r="GV139" s="91"/>
      <c r="GW139" s="91"/>
      <c r="GX139" s="91"/>
      <c r="GY139" s="91"/>
      <c r="GZ139" s="91"/>
      <c r="HA139" s="91"/>
      <c r="HB139" s="91"/>
      <c r="HC139" s="91"/>
      <c r="HD139" s="91"/>
      <c r="HE139" s="91"/>
      <c r="HF139" s="91"/>
      <c r="HG139" s="91"/>
      <c r="HH139" s="91"/>
      <c r="HI139" s="91"/>
      <c r="HJ139" s="91"/>
      <c r="HK139" s="91"/>
      <c r="HL139" s="91"/>
      <c r="HM139" s="91"/>
      <c r="HN139" s="91"/>
      <c r="HO139" s="91"/>
      <c r="HP139" s="91"/>
      <c r="HQ139" s="91"/>
      <c r="HR139" s="91"/>
      <c r="HS139" s="91"/>
      <c r="HT139" s="91"/>
      <c r="HU139" s="91"/>
      <c r="HV139" s="91"/>
      <c r="HW139" s="91"/>
      <c r="HX139" s="91"/>
      <c r="HY139" s="91"/>
      <c r="HZ139" s="91"/>
      <c r="IA139" s="91"/>
      <c r="IB139" s="91"/>
      <c r="IC139" s="91"/>
      <c r="ID139" s="91"/>
      <c r="IE139" s="91"/>
      <c r="IF139" s="91"/>
      <c r="IG139" s="91"/>
      <c r="IH139" s="91"/>
      <c r="II139" s="91"/>
      <c r="IJ139" s="91"/>
      <c r="IK139" s="91"/>
      <c r="IL139" s="91"/>
      <c r="IM139" s="91"/>
      <c r="IN139" s="91"/>
      <c r="IO139" s="91"/>
      <c r="IP139" s="91"/>
      <c r="IQ139" s="91"/>
      <c r="IR139" s="91"/>
      <c r="IS139" s="91"/>
      <c r="IT139" s="91"/>
      <c r="IU139" s="91"/>
      <c r="IV139" s="91"/>
    </row>
    <row r="140" s="92" customFormat="1" ht="20.1" customHeight="1" spans="1:256">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c r="BI140" s="91"/>
      <c r="BJ140" s="91"/>
      <c r="BK140" s="91"/>
      <c r="BL140" s="91"/>
      <c r="BM140" s="91"/>
      <c r="BN140" s="91"/>
      <c r="BO140" s="91"/>
      <c r="BP140" s="91"/>
      <c r="BQ140" s="91"/>
      <c r="BR140" s="91"/>
      <c r="BS140" s="91"/>
      <c r="BT140" s="91"/>
      <c r="BU140" s="91"/>
      <c r="BV140" s="91"/>
      <c r="BW140" s="91"/>
      <c r="BX140" s="91"/>
      <c r="BY140" s="91"/>
      <c r="BZ140" s="91"/>
      <c r="CA140" s="91"/>
      <c r="CB140" s="91"/>
      <c r="CC140" s="91"/>
      <c r="CD140" s="91"/>
      <c r="CE140" s="91"/>
      <c r="CF140" s="91"/>
      <c r="CG140" s="91"/>
      <c r="CH140" s="91"/>
      <c r="CI140" s="91"/>
      <c r="CJ140" s="91"/>
      <c r="CK140" s="91"/>
      <c r="CL140" s="91"/>
      <c r="CM140" s="91"/>
      <c r="CN140" s="91"/>
      <c r="CO140" s="91"/>
      <c r="CP140" s="91"/>
      <c r="CQ140" s="91"/>
      <c r="CR140" s="91"/>
      <c r="CS140" s="91"/>
      <c r="CT140" s="91"/>
      <c r="CU140" s="91"/>
      <c r="CV140" s="91"/>
      <c r="CW140" s="91"/>
      <c r="CX140" s="91"/>
      <c r="CY140" s="91"/>
      <c r="CZ140" s="91"/>
      <c r="DA140" s="91"/>
      <c r="DB140" s="91"/>
      <c r="DC140" s="91"/>
      <c r="DD140" s="91"/>
      <c r="DE140" s="91"/>
      <c r="DF140" s="91"/>
      <c r="DG140" s="91"/>
      <c r="DH140" s="91"/>
      <c r="DI140" s="91"/>
      <c r="DJ140" s="91"/>
      <c r="DK140" s="91"/>
      <c r="DL140" s="91"/>
      <c r="DM140" s="91"/>
      <c r="DN140" s="91"/>
      <c r="DO140" s="91"/>
      <c r="DP140" s="91"/>
      <c r="DQ140" s="91"/>
      <c r="DR140" s="91"/>
      <c r="DS140" s="91"/>
      <c r="DT140" s="91"/>
      <c r="DU140" s="91"/>
      <c r="DV140" s="91"/>
      <c r="DW140" s="91"/>
      <c r="DX140" s="91"/>
      <c r="DY140" s="91"/>
      <c r="DZ140" s="91"/>
      <c r="EA140" s="91"/>
      <c r="EB140" s="91"/>
      <c r="EC140" s="91"/>
      <c r="ED140" s="91"/>
      <c r="EE140" s="91"/>
      <c r="EF140" s="91"/>
      <c r="EG140" s="91"/>
      <c r="EH140" s="91"/>
      <c r="EI140" s="91"/>
      <c r="EJ140" s="91"/>
      <c r="EK140" s="91"/>
      <c r="EL140" s="91"/>
      <c r="EM140" s="91"/>
      <c r="EN140" s="91"/>
      <c r="EO140" s="91"/>
      <c r="EP140" s="91"/>
      <c r="EQ140" s="91"/>
      <c r="ER140" s="91"/>
      <c r="ES140" s="91"/>
      <c r="ET140" s="91"/>
      <c r="EU140" s="91"/>
      <c r="EV140" s="91"/>
      <c r="EW140" s="91"/>
      <c r="EX140" s="91"/>
      <c r="EY140" s="91"/>
      <c r="EZ140" s="91"/>
      <c r="FA140" s="91"/>
      <c r="FB140" s="91"/>
      <c r="FC140" s="91"/>
      <c r="FD140" s="91"/>
      <c r="FE140" s="91"/>
      <c r="FF140" s="91"/>
      <c r="FG140" s="91"/>
      <c r="FH140" s="91"/>
      <c r="FI140" s="91"/>
      <c r="FJ140" s="91"/>
      <c r="FK140" s="91"/>
      <c r="FL140" s="91"/>
      <c r="FM140" s="91"/>
      <c r="FN140" s="91"/>
      <c r="FO140" s="91"/>
      <c r="FP140" s="91"/>
      <c r="FQ140" s="91"/>
      <c r="FR140" s="91"/>
      <c r="FS140" s="91"/>
      <c r="FT140" s="91"/>
      <c r="FU140" s="91"/>
      <c r="FV140" s="91"/>
      <c r="FW140" s="91"/>
      <c r="FX140" s="91"/>
      <c r="FY140" s="91"/>
      <c r="FZ140" s="91"/>
      <c r="GA140" s="91"/>
      <c r="GB140" s="91"/>
      <c r="GC140" s="91"/>
      <c r="GD140" s="91"/>
      <c r="GE140" s="91"/>
      <c r="GF140" s="91"/>
      <c r="GG140" s="91"/>
      <c r="GH140" s="91"/>
      <c r="GI140" s="91"/>
      <c r="GJ140" s="91"/>
      <c r="GK140" s="91"/>
      <c r="GL140" s="91"/>
      <c r="GM140" s="91"/>
      <c r="GN140" s="91"/>
      <c r="GO140" s="91"/>
      <c r="GP140" s="91"/>
      <c r="GQ140" s="91"/>
      <c r="GR140" s="91"/>
      <c r="GS140" s="91"/>
      <c r="GT140" s="91"/>
      <c r="GU140" s="91"/>
      <c r="GV140" s="91"/>
      <c r="GW140" s="91"/>
      <c r="GX140" s="91"/>
      <c r="GY140" s="91"/>
      <c r="GZ140" s="91"/>
      <c r="HA140" s="91"/>
      <c r="HB140" s="91"/>
      <c r="HC140" s="91"/>
      <c r="HD140" s="91"/>
      <c r="HE140" s="91"/>
      <c r="HF140" s="91"/>
      <c r="HG140" s="91"/>
      <c r="HH140" s="91"/>
      <c r="HI140" s="91"/>
      <c r="HJ140" s="91"/>
      <c r="HK140" s="91"/>
      <c r="HL140" s="91"/>
      <c r="HM140" s="91"/>
      <c r="HN140" s="91"/>
      <c r="HO140" s="91"/>
      <c r="HP140" s="91"/>
      <c r="HQ140" s="91"/>
      <c r="HR140" s="91"/>
      <c r="HS140" s="91"/>
      <c r="HT140" s="91"/>
      <c r="HU140" s="91"/>
      <c r="HV140" s="91"/>
      <c r="HW140" s="91"/>
      <c r="HX140" s="91"/>
      <c r="HY140" s="91"/>
      <c r="HZ140" s="91"/>
      <c r="IA140" s="91"/>
      <c r="IB140" s="91"/>
      <c r="IC140" s="91"/>
      <c r="ID140" s="91"/>
      <c r="IE140" s="91"/>
      <c r="IF140" s="91"/>
      <c r="IG140" s="91"/>
      <c r="IH140" s="91"/>
      <c r="II140" s="91"/>
      <c r="IJ140" s="91"/>
      <c r="IK140" s="91"/>
      <c r="IL140" s="91"/>
      <c r="IM140" s="91"/>
      <c r="IN140" s="91"/>
      <c r="IO140" s="91"/>
      <c r="IP140" s="91"/>
      <c r="IQ140" s="91"/>
      <c r="IR140" s="91"/>
      <c r="IS140" s="91"/>
      <c r="IT140" s="91"/>
      <c r="IU140" s="91"/>
      <c r="IV140" s="91"/>
    </row>
    <row r="141" s="92" customFormat="1" ht="20.1" customHeight="1" spans="1:256">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c r="BI141" s="91"/>
      <c r="BJ141" s="91"/>
      <c r="BK141" s="91"/>
      <c r="BL141" s="91"/>
      <c r="BM141" s="91"/>
      <c r="BN141" s="91"/>
      <c r="BO141" s="91"/>
      <c r="BP141" s="91"/>
      <c r="BQ141" s="91"/>
      <c r="BR141" s="91"/>
      <c r="BS141" s="91"/>
      <c r="BT141" s="91"/>
      <c r="BU141" s="91"/>
      <c r="BV141" s="91"/>
      <c r="BW141" s="91"/>
      <c r="BX141" s="91"/>
      <c r="BY141" s="91"/>
      <c r="BZ141" s="91"/>
      <c r="CA141" s="91"/>
      <c r="CB141" s="91"/>
      <c r="CC141" s="91"/>
      <c r="CD141" s="91"/>
      <c r="CE141" s="91"/>
      <c r="CF141" s="91"/>
      <c r="CG141" s="91"/>
      <c r="CH141" s="91"/>
      <c r="CI141" s="91"/>
      <c r="CJ141" s="91"/>
      <c r="CK141" s="91"/>
      <c r="CL141" s="91"/>
      <c r="CM141" s="91"/>
      <c r="CN141" s="91"/>
      <c r="CO141" s="91"/>
      <c r="CP141" s="91"/>
      <c r="CQ141" s="91"/>
      <c r="CR141" s="91"/>
      <c r="CS141" s="91"/>
      <c r="CT141" s="91"/>
      <c r="CU141" s="91"/>
      <c r="CV141" s="91"/>
      <c r="CW141" s="91"/>
      <c r="CX141" s="91"/>
      <c r="CY141" s="91"/>
      <c r="CZ141" s="91"/>
      <c r="DA141" s="91"/>
      <c r="DB141" s="91"/>
      <c r="DC141" s="91"/>
      <c r="DD141" s="91"/>
      <c r="DE141" s="91"/>
      <c r="DF141" s="91"/>
      <c r="DG141" s="91"/>
      <c r="DH141" s="91"/>
      <c r="DI141" s="91"/>
      <c r="DJ141" s="91"/>
      <c r="DK141" s="91"/>
      <c r="DL141" s="91"/>
      <c r="DM141" s="91"/>
      <c r="DN141" s="91"/>
      <c r="DO141" s="91"/>
      <c r="DP141" s="91"/>
      <c r="DQ141" s="91"/>
      <c r="DR141" s="91"/>
      <c r="DS141" s="91"/>
      <c r="DT141" s="91"/>
      <c r="DU141" s="91"/>
      <c r="DV141" s="91"/>
      <c r="DW141" s="91"/>
      <c r="DX141" s="91"/>
      <c r="DY141" s="91"/>
      <c r="DZ141" s="91"/>
      <c r="EA141" s="91"/>
      <c r="EB141" s="91"/>
      <c r="EC141" s="91"/>
      <c r="ED141" s="91"/>
      <c r="EE141" s="91"/>
      <c r="EF141" s="91"/>
      <c r="EG141" s="91"/>
      <c r="EH141" s="91"/>
      <c r="EI141" s="91"/>
      <c r="EJ141" s="91"/>
      <c r="EK141" s="91"/>
      <c r="EL141" s="91"/>
      <c r="EM141" s="91"/>
      <c r="EN141" s="91"/>
      <c r="EO141" s="91"/>
      <c r="EP141" s="91"/>
      <c r="EQ141" s="91"/>
      <c r="ER141" s="91"/>
      <c r="ES141" s="91"/>
      <c r="ET141" s="91"/>
      <c r="EU141" s="91"/>
      <c r="EV141" s="91"/>
      <c r="EW141" s="91"/>
      <c r="EX141" s="91"/>
      <c r="EY141" s="91"/>
      <c r="EZ141" s="91"/>
      <c r="FA141" s="91"/>
      <c r="FB141" s="91"/>
      <c r="FC141" s="91"/>
      <c r="FD141" s="91"/>
      <c r="FE141" s="91"/>
      <c r="FF141" s="91"/>
      <c r="FG141" s="91"/>
      <c r="FH141" s="91"/>
      <c r="FI141" s="91"/>
      <c r="FJ141" s="91"/>
      <c r="FK141" s="91"/>
      <c r="FL141" s="91"/>
      <c r="FM141" s="91"/>
      <c r="FN141" s="91"/>
      <c r="FO141" s="91"/>
      <c r="FP141" s="91"/>
      <c r="FQ141" s="91"/>
      <c r="FR141" s="91"/>
      <c r="FS141" s="91"/>
      <c r="FT141" s="91"/>
      <c r="FU141" s="91"/>
      <c r="FV141" s="91"/>
      <c r="FW141" s="91"/>
      <c r="FX141" s="91"/>
      <c r="FY141" s="91"/>
      <c r="FZ141" s="91"/>
      <c r="GA141" s="91"/>
      <c r="GB141" s="91"/>
      <c r="GC141" s="91"/>
      <c r="GD141" s="91"/>
      <c r="GE141" s="91"/>
      <c r="GF141" s="91"/>
      <c r="GG141" s="91"/>
      <c r="GH141" s="91"/>
      <c r="GI141" s="91"/>
      <c r="GJ141" s="91"/>
      <c r="GK141" s="91"/>
      <c r="GL141" s="91"/>
      <c r="GM141" s="91"/>
      <c r="GN141" s="91"/>
      <c r="GO141" s="91"/>
      <c r="GP141" s="91"/>
      <c r="GQ141" s="91"/>
      <c r="GR141" s="91"/>
      <c r="GS141" s="91"/>
      <c r="GT141" s="91"/>
      <c r="GU141" s="91"/>
      <c r="GV141" s="91"/>
      <c r="GW141" s="91"/>
      <c r="GX141" s="91"/>
      <c r="GY141" s="91"/>
      <c r="GZ141" s="91"/>
      <c r="HA141" s="91"/>
      <c r="HB141" s="91"/>
      <c r="HC141" s="91"/>
      <c r="HD141" s="91"/>
      <c r="HE141" s="91"/>
      <c r="HF141" s="91"/>
      <c r="HG141" s="91"/>
      <c r="HH141" s="91"/>
      <c r="HI141" s="91"/>
      <c r="HJ141" s="91"/>
      <c r="HK141" s="91"/>
      <c r="HL141" s="91"/>
      <c r="HM141" s="91"/>
      <c r="HN141" s="91"/>
      <c r="HO141" s="91"/>
      <c r="HP141" s="91"/>
      <c r="HQ141" s="91"/>
      <c r="HR141" s="91"/>
      <c r="HS141" s="91"/>
      <c r="HT141" s="91"/>
      <c r="HU141" s="91"/>
      <c r="HV141" s="91"/>
      <c r="HW141" s="91"/>
      <c r="HX141" s="91"/>
      <c r="HY141" s="91"/>
      <c r="HZ141" s="91"/>
      <c r="IA141" s="91"/>
      <c r="IB141" s="91"/>
      <c r="IC141" s="91"/>
      <c r="ID141" s="91"/>
      <c r="IE141" s="91"/>
      <c r="IF141" s="91"/>
      <c r="IG141" s="91"/>
      <c r="IH141" s="91"/>
      <c r="II141" s="91"/>
      <c r="IJ141" s="91"/>
      <c r="IK141" s="91"/>
      <c r="IL141" s="91"/>
      <c r="IM141" s="91"/>
      <c r="IN141" s="91"/>
      <c r="IO141" s="91"/>
      <c r="IP141" s="91"/>
      <c r="IQ141" s="91"/>
      <c r="IR141" s="91"/>
      <c r="IS141" s="91"/>
      <c r="IT141" s="91"/>
      <c r="IU141" s="91"/>
      <c r="IV141" s="91"/>
    </row>
    <row r="142" s="92" customFormat="1" ht="20.1" customHeight="1" spans="1:256">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c r="BI142" s="91"/>
      <c r="BJ142" s="91"/>
      <c r="BK142" s="91"/>
      <c r="BL142" s="91"/>
      <c r="BM142" s="91"/>
      <c r="BN142" s="91"/>
      <c r="BO142" s="91"/>
      <c r="BP142" s="91"/>
      <c r="BQ142" s="91"/>
      <c r="BR142" s="91"/>
      <c r="BS142" s="91"/>
      <c r="BT142" s="91"/>
      <c r="BU142" s="91"/>
      <c r="BV142" s="91"/>
      <c r="BW142" s="91"/>
      <c r="BX142" s="91"/>
      <c r="BY142" s="91"/>
      <c r="BZ142" s="91"/>
      <c r="CA142" s="91"/>
      <c r="CB142" s="91"/>
      <c r="CC142" s="91"/>
      <c r="CD142" s="91"/>
      <c r="CE142" s="91"/>
      <c r="CF142" s="91"/>
      <c r="CG142" s="91"/>
      <c r="CH142" s="91"/>
      <c r="CI142" s="91"/>
      <c r="CJ142" s="91"/>
      <c r="CK142" s="91"/>
      <c r="CL142" s="91"/>
      <c r="CM142" s="91"/>
      <c r="CN142" s="91"/>
      <c r="CO142" s="91"/>
      <c r="CP142" s="91"/>
      <c r="CQ142" s="91"/>
      <c r="CR142" s="91"/>
      <c r="CS142" s="91"/>
      <c r="CT142" s="91"/>
      <c r="CU142" s="91"/>
      <c r="CV142" s="91"/>
      <c r="CW142" s="91"/>
      <c r="CX142" s="91"/>
      <c r="CY142" s="91"/>
      <c r="CZ142" s="91"/>
      <c r="DA142" s="91"/>
      <c r="DB142" s="91"/>
      <c r="DC142" s="91"/>
      <c r="DD142" s="91"/>
      <c r="DE142" s="91"/>
      <c r="DF142" s="91"/>
      <c r="DG142" s="91"/>
      <c r="DH142" s="91"/>
      <c r="DI142" s="91"/>
      <c r="DJ142" s="91"/>
      <c r="DK142" s="91"/>
      <c r="DL142" s="91"/>
      <c r="DM142" s="91"/>
      <c r="DN142" s="91"/>
      <c r="DO142" s="91"/>
      <c r="DP142" s="91"/>
      <c r="DQ142" s="91"/>
      <c r="DR142" s="91"/>
      <c r="DS142" s="91"/>
      <c r="DT142" s="91"/>
      <c r="DU142" s="91"/>
      <c r="DV142" s="91"/>
      <c r="DW142" s="91"/>
      <c r="DX142" s="91"/>
      <c r="DY142" s="91"/>
      <c r="DZ142" s="91"/>
      <c r="EA142" s="91"/>
      <c r="EB142" s="91"/>
      <c r="EC142" s="91"/>
      <c r="ED142" s="91"/>
      <c r="EE142" s="91"/>
      <c r="EF142" s="91"/>
      <c r="EG142" s="91"/>
      <c r="EH142" s="91"/>
      <c r="EI142" s="91"/>
      <c r="EJ142" s="91"/>
      <c r="EK142" s="91"/>
      <c r="EL142" s="91"/>
      <c r="EM142" s="91"/>
      <c r="EN142" s="91"/>
      <c r="EO142" s="91"/>
      <c r="EP142" s="91"/>
      <c r="EQ142" s="91"/>
      <c r="ER142" s="91"/>
      <c r="ES142" s="91"/>
      <c r="ET142" s="91"/>
      <c r="EU142" s="91"/>
      <c r="EV142" s="91"/>
      <c r="EW142" s="91"/>
      <c r="EX142" s="91"/>
      <c r="EY142" s="91"/>
      <c r="EZ142" s="91"/>
      <c r="FA142" s="91"/>
      <c r="FB142" s="91"/>
      <c r="FC142" s="91"/>
      <c r="FD142" s="91"/>
      <c r="FE142" s="91"/>
      <c r="FF142" s="91"/>
      <c r="FG142" s="91"/>
      <c r="FH142" s="91"/>
      <c r="FI142" s="91"/>
      <c r="FJ142" s="91"/>
      <c r="FK142" s="91"/>
      <c r="FL142" s="91"/>
      <c r="FM142" s="91"/>
      <c r="FN142" s="91"/>
      <c r="FO142" s="91"/>
      <c r="FP142" s="91"/>
      <c r="FQ142" s="91"/>
      <c r="FR142" s="91"/>
      <c r="FS142" s="91"/>
      <c r="FT142" s="91"/>
      <c r="FU142" s="91"/>
      <c r="FV142" s="91"/>
      <c r="FW142" s="91"/>
      <c r="FX142" s="91"/>
      <c r="FY142" s="91"/>
      <c r="FZ142" s="91"/>
      <c r="GA142" s="91"/>
      <c r="GB142" s="91"/>
      <c r="GC142" s="91"/>
      <c r="GD142" s="91"/>
      <c r="GE142" s="91"/>
      <c r="GF142" s="91"/>
      <c r="GG142" s="91"/>
      <c r="GH142" s="91"/>
      <c r="GI142" s="91"/>
      <c r="GJ142" s="91"/>
      <c r="GK142" s="91"/>
      <c r="GL142" s="91"/>
      <c r="GM142" s="91"/>
      <c r="GN142" s="91"/>
      <c r="GO142" s="91"/>
      <c r="GP142" s="91"/>
      <c r="GQ142" s="91"/>
      <c r="GR142" s="91"/>
      <c r="GS142" s="91"/>
      <c r="GT142" s="91"/>
      <c r="GU142" s="91"/>
      <c r="GV142" s="91"/>
      <c r="GW142" s="91"/>
      <c r="GX142" s="91"/>
      <c r="GY142" s="91"/>
      <c r="GZ142" s="91"/>
      <c r="HA142" s="91"/>
      <c r="HB142" s="91"/>
      <c r="HC142" s="91"/>
      <c r="HD142" s="91"/>
      <c r="HE142" s="91"/>
      <c r="HF142" s="91"/>
      <c r="HG142" s="91"/>
      <c r="HH142" s="91"/>
      <c r="HI142" s="91"/>
      <c r="HJ142" s="91"/>
      <c r="HK142" s="91"/>
      <c r="HL142" s="91"/>
      <c r="HM142" s="91"/>
      <c r="HN142" s="91"/>
      <c r="HO142" s="91"/>
      <c r="HP142" s="91"/>
      <c r="HQ142" s="91"/>
      <c r="HR142" s="91"/>
      <c r="HS142" s="91"/>
      <c r="HT142" s="91"/>
      <c r="HU142" s="91"/>
      <c r="HV142" s="91"/>
      <c r="HW142" s="91"/>
      <c r="HX142" s="91"/>
      <c r="HY142" s="91"/>
      <c r="HZ142" s="91"/>
      <c r="IA142" s="91"/>
      <c r="IB142" s="91"/>
      <c r="IC142" s="91"/>
      <c r="ID142" s="91"/>
      <c r="IE142" s="91"/>
      <c r="IF142" s="91"/>
      <c r="IG142" s="91"/>
      <c r="IH142" s="91"/>
      <c r="II142" s="91"/>
      <c r="IJ142" s="91"/>
      <c r="IK142" s="91"/>
      <c r="IL142" s="91"/>
      <c r="IM142" s="91"/>
      <c r="IN142" s="91"/>
      <c r="IO142" s="91"/>
      <c r="IP142" s="91"/>
      <c r="IQ142" s="91"/>
      <c r="IR142" s="91"/>
      <c r="IS142" s="91"/>
      <c r="IT142" s="91"/>
      <c r="IU142" s="91"/>
      <c r="IV142" s="91"/>
    </row>
    <row r="143" s="92" customFormat="1" ht="20.1" customHeight="1" spans="1:256">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c r="BI143" s="91"/>
      <c r="BJ143" s="91"/>
      <c r="BK143" s="91"/>
      <c r="BL143" s="91"/>
      <c r="BM143" s="91"/>
      <c r="BN143" s="91"/>
      <c r="BO143" s="91"/>
      <c r="BP143" s="91"/>
      <c r="BQ143" s="91"/>
      <c r="BR143" s="91"/>
      <c r="BS143" s="91"/>
      <c r="BT143" s="91"/>
      <c r="BU143" s="91"/>
      <c r="BV143" s="91"/>
      <c r="BW143" s="91"/>
      <c r="BX143" s="91"/>
      <c r="BY143" s="91"/>
      <c r="BZ143" s="91"/>
      <c r="CA143" s="91"/>
      <c r="CB143" s="91"/>
      <c r="CC143" s="91"/>
      <c r="CD143" s="91"/>
      <c r="CE143" s="91"/>
      <c r="CF143" s="91"/>
      <c r="CG143" s="91"/>
      <c r="CH143" s="91"/>
      <c r="CI143" s="91"/>
      <c r="CJ143" s="91"/>
      <c r="CK143" s="91"/>
      <c r="CL143" s="91"/>
      <c r="CM143" s="91"/>
      <c r="CN143" s="91"/>
      <c r="CO143" s="91"/>
      <c r="CP143" s="91"/>
      <c r="CQ143" s="91"/>
      <c r="CR143" s="91"/>
      <c r="CS143" s="91"/>
      <c r="CT143" s="91"/>
      <c r="CU143" s="91"/>
      <c r="CV143" s="91"/>
      <c r="CW143" s="91"/>
      <c r="CX143" s="91"/>
      <c r="CY143" s="91"/>
      <c r="CZ143" s="91"/>
      <c r="DA143" s="91"/>
      <c r="DB143" s="91"/>
      <c r="DC143" s="91"/>
      <c r="DD143" s="91"/>
      <c r="DE143" s="91"/>
      <c r="DF143" s="91"/>
      <c r="DG143" s="91"/>
      <c r="DH143" s="91"/>
      <c r="DI143" s="91"/>
      <c r="DJ143" s="91"/>
      <c r="DK143" s="91"/>
      <c r="DL143" s="91"/>
      <c r="DM143" s="91"/>
      <c r="DN143" s="91"/>
      <c r="DO143" s="91"/>
      <c r="DP143" s="91"/>
      <c r="DQ143" s="91"/>
      <c r="DR143" s="91"/>
      <c r="DS143" s="91"/>
      <c r="DT143" s="91"/>
      <c r="DU143" s="91"/>
      <c r="DV143" s="91"/>
      <c r="DW143" s="91"/>
      <c r="DX143" s="91"/>
      <c r="DY143" s="91"/>
      <c r="DZ143" s="91"/>
      <c r="EA143" s="91"/>
      <c r="EB143" s="91"/>
      <c r="EC143" s="91"/>
      <c r="ED143" s="91"/>
      <c r="EE143" s="91"/>
      <c r="EF143" s="91"/>
      <c r="EG143" s="91"/>
      <c r="EH143" s="91"/>
      <c r="EI143" s="91"/>
      <c r="EJ143" s="91"/>
      <c r="EK143" s="91"/>
      <c r="EL143" s="91"/>
      <c r="EM143" s="91"/>
      <c r="EN143" s="91"/>
      <c r="EO143" s="91"/>
      <c r="EP143" s="91"/>
      <c r="EQ143" s="91"/>
      <c r="ER143" s="91"/>
      <c r="ES143" s="91"/>
      <c r="ET143" s="91"/>
      <c r="EU143" s="91"/>
      <c r="EV143" s="91"/>
      <c r="EW143" s="91"/>
      <c r="EX143" s="91"/>
      <c r="EY143" s="91"/>
      <c r="EZ143" s="91"/>
      <c r="FA143" s="91"/>
      <c r="FB143" s="91"/>
      <c r="FC143" s="91"/>
      <c r="FD143" s="91"/>
      <c r="FE143" s="91"/>
      <c r="FF143" s="91"/>
      <c r="FG143" s="91"/>
      <c r="FH143" s="91"/>
      <c r="FI143" s="91"/>
      <c r="FJ143" s="91"/>
      <c r="FK143" s="91"/>
      <c r="FL143" s="91"/>
      <c r="FM143" s="91"/>
      <c r="FN143" s="91"/>
      <c r="FO143" s="91"/>
      <c r="FP143" s="91"/>
      <c r="FQ143" s="91"/>
      <c r="FR143" s="91"/>
      <c r="FS143" s="91"/>
      <c r="FT143" s="91"/>
      <c r="FU143" s="91"/>
      <c r="FV143" s="91"/>
      <c r="FW143" s="91"/>
      <c r="FX143" s="91"/>
      <c r="FY143" s="91"/>
      <c r="FZ143" s="91"/>
      <c r="GA143" s="91"/>
      <c r="GB143" s="91"/>
      <c r="GC143" s="91"/>
      <c r="GD143" s="91"/>
      <c r="GE143" s="91"/>
      <c r="GF143" s="91"/>
      <c r="GG143" s="91"/>
      <c r="GH143" s="91"/>
      <c r="GI143" s="91"/>
      <c r="GJ143" s="91"/>
      <c r="GK143" s="91"/>
      <c r="GL143" s="91"/>
      <c r="GM143" s="91"/>
      <c r="GN143" s="91"/>
      <c r="GO143" s="91"/>
      <c r="GP143" s="91"/>
      <c r="GQ143" s="91"/>
      <c r="GR143" s="91"/>
      <c r="GS143" s="91"/>
      <c r="GT143" s="91"/>
      <c r="GU143" s="91"/>
      <c r="GV143" s="91"/>
      <c r="GW143" s="91"/>
      <c r="GX143" s="91"/>
      <c r="GY143" s="91"/>
      <c r="GZ143" s="91"/>
      <c r="HA143" s="91"/>
      <c r="HB143" s="91"/>
      <c r="HC143" s="91"/>
      <c r="HD143" s="91"/>
      <c r="HE143" s="91"/>
      <c r="HF143" s="91"/>
      <c r="HG143" s="91"/>
      <c r="HH143" s="91"/>
      <c r="HI143" s="91"/>
      <c r="HJ143" s="91"/>
      <c r="HK143" s="91"/>
      <c r="HL143" s="91"/>
      <c r="HM143" s="91"/>
      <c r="HN143" s="91"/>
      <c r="HO143" s="91"/>
      <c r="HP143" s="91"/>
      <c r="HQ143" s="91"/>
      <c r="HR143" s="91"/>
      <c r="HS143" s="91"/>
      <c r="HT143" s="91"/>
      <c r="HU143" s="91"/>
      <c r="HV143" s="91"/>
      <c r="HW143" s="91"/>
      <c r="HX143" s="91"/>
      <c r="HY143" s="91"/>
      <c r="HZ143" s="91"/>
      <c r="IA143" s="91"/>
      <c r="IB143" s="91"/>
      <c r="IC143" s="91"/>
      <c r="ID143" s="91"/>
      <c r="IE143" s="91"/>
      <c r="IF143" s="91"/>
      <c r="IG143" s="91"/>
      <c r="IH143" s="91"/>
      <c r="II143" s="91"/>
      <c r="IJ143" s="91"/>
      <c r="IK143" s="91"/>
      <c r="IL143" s="91"/>
      <c r="IM143" s="91"/>
      <c r="IN143" s="91"/>
      <c r="IO143" s="91"/>
      <c r="IP143" s="91"/>
      <c r="IQ143" s="91"/>
      <c r="IR143" s="91"/>
      <c r="IS143" s="91"/>
      <c r="IT143" s="91"/>
      <c r="IU143" s="91"/>
      <c r="IV143" s="91"/>
    </row>
    <row r="144" s="92" customFormat="1" ht="20.1" customHeight="1" spans="1:256">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c r="BI144" s="91"/>
      <c r="BJ144" s="91"/>
      <c r="BK144" s="91"/>
      <c r="BL144" s="91"/>
      <c r="BM144" s="91"/>
      <c r="BN144" s="91"/>
      <c r="BO144" s="91"/>
      <c r="BP144" s="91"/>
      <c r="BQ144" s="91"/>
      <c r="BR144" s="91"/>
      <c r="BS144" s="91"/>
      <c r="BT144" s="91"/>
      <c r="BU144" s="91"/>
      <c r="BV144" s="91"/>
      <c r="BW144" s="91"/>
      <c r="BX144" s="91"/>
      <c r="BY144" s="91"/>
      <c r="BZ144" s="91"/>
      <c r="CA144" s="91"/>
      <c r="CB144" s="91"/>
      <c r="CC144" s="91"/>
      <c r="CD144" s="91"/>
      <c r="CE144" s="91"/>
      <c r="CF144" s="91"/>
      <c r="CG144" s="91"/>
      <c r="CH144" s="91"/>
      <c r="CI144" s="91"/>
      <c r="CJ144" s="91"/>
      <c r="CK144" s="91"/>
      <c r="CL144" s="91"/>
      <c r="CM144" s="91"/>
      <c r="CN144" s="91"/>
      <c r="CO144" s="91"/>
      <c r="CP144" s="91"/>
      <c r="CQ144" s="91"/>
      <c r="CR144" s="91"/>
      <c r="CS144" s="91"/>
      <c r="CT144" s="91"/>
      <c r="CU144" s="91"/>
      <c r="CV144" s="91"/>
      <c r="CW144" s="91"/>
      <c r="CX144" s="91"/>
      <c r="CY144" s="91"/>
      <c r="CZ144" s="91"/>
      <c r="DA144" s="91"/>
      <c r="DB144" s="91"/>
      <c r="DC144" s="91"/>
      <c r="DD144" s="91"/>
      <c r="DE144" s="91"/>
      <c r="DF144" s="91"/>
      <c r="DG144" s="91"/>
      <c r="DH144" s="91"/>
      <c r="DI144" s="91"/>
      <c r="DJ144" s="91"/>
      <c r="DK144" s="91"/>
      <c r="DL144" s="91"/>
      <c r="DM144" s="91"/>
      <c r="DN144" s="91"/>
      <c r="DO144" s="91"/>
      <c r="DP144" s="91"/>
      <c r="DQ144" s="91"/>
      <c r="DR144" s="91"/>
      <c r="DS144" s="91"/>
      <c r="DT144" s="91"/>
      <c r="DU144" s="91"/>
      <c r="DV144" s="91"/>
      <c r="DW144" s="91"/>
      <c r="DX144" s="91"/>
      <c r="DY144" s="91"/>
      <c r="DZ144" s="91"/>
      <c r="EA144" s="91"/>
      <c r="EB144" s="91"/>
      <c r="EC144" s="91"/>
      <c r="ED144" s="91"/>
      <c r="EE144" s="91"/>
      <c r="EF144" s="91"/>
      <c r="EG144" s="91"/>
      <c r="EH144" s="91"/>
      <c r="EI144" s="91"/>
      <c r="EJ144" s="91"/>
      <c r="EK144" s="91"/>
      <c r="EL144" s="91"/>
      <c r="EM144" s="91"/>
      <c r="EN144" s="91"/>
      <c r="EO144" s="91"/>
      <c r="EP144" s="91"/>
      <c r="EQ144" s="91"/>
      <c r="ER144" s="91"/>
      <c r="ES144" s="91"/>
      <c r="ET144" s="91"/>
      <c r="EU144" s="91"/>
      <c r="EV144" s="91"/>
      <c r="EW144" s="91"/>
      <c r="EX144" s="91"/>
      <c r="EY144" s="91"/>
      <c r="EZ144" s="91"/>
      <c r="FA144" s="91"/>
      <c r="FB144" s="91"/>
      <c r="FC144" s="91"/>
      <c r="FD144" s="91"/>
      <c r="FE144" s="91"/>
      <c r="FF144" s="91"/>
      <c r="FG144" s="91"/>
      <c r="FH144" s="91"/>
      <c r="FI144" s="91"/>
      <c r="FJ144" s="91"/>
      <c r="FK144" s="91"/>
      <c r="FL144" s="91"/>
      <c r="FM144" s="91"/>
      <c r="FN144" s="91"/>
      <c r="FO144" s="91"/>
      <c r="FP144" s="91"/>
      <c r="FQ144" s="91"/>
      <c r="FR144" s="91"/>
      <c r="FS144" s="91"/>
      <c r="FT144" s="91"/>
      <c r="FU144" s="91"/>
      <c r="FV144" s="91"/>
      <c r="FW144" s="91"/>
      <c r="FX144" s="91"/>
      <c r="FY144" s="91"/>
      <c r="FZ144" s="91"/>
      <c r="GA144" s="91"/>
      <c r="GB144" s="91"/>
      <c r="GC144" s="91"/>
      <c r="GD144" s="91"/>
      <c r="GE144" s="91"/>
      <c r="GF144" s="91"/>
      <c r="GG144" s="91"/>
      <c r="GH144" s="91"/>
      <c r="GI144" s="91"/>
      <c r="GJ144" s="91"/>
      <c r="GK144" s="91"/>
      <c r="GL144" s="91"/>
      <c r="GM144" s="91"/>
      <c r="GN144" s="91"/>
      <c r="GO144" s="91"/>
      <c r="GP144" s="91"/>
      <c r="GQ144" s="91"/>
      <c r="GR144" s="91"/>
      <c r="GS144" s="91"/>
      <c r="GT144" s="91"/>
      <c r="GU144" s="91"/>
      <c r="GV144" s="91"/>
      <c r="GW144" s="91"/>
      <c r="GX144" s="91"/>
      <c r="GY144" s="91"/>
      <c r="GZ144" s="91"/>
      <c r="HA144" s="91"/>
      <c r="HB144" s="91"/>
      <c r="HC144" s="91"/>
      <c r="HD144" s="91"/>
      <c r="HE144" s="91"/>
      <c r="HF144" s="91"/>
      <c r="HG144" s="91"/>
      <c r="HH144" s="91"/>
      <c r="HI144" s="91"/>
      <c r="HJ144" s="91"/>
      <c r="HK144" s="91"/>
      <c r="HL144" s="91"/>
      <c r="HM144" s="91"/>
      <c r="HN144" s="91"/>
      <c r="HO144" s="91"/>
      <c r="HP144" s="91"/>
      <c r="HQ144" s="91"/>
      <c r="HR144" s="91"/>
      <c r="HS144" s="91"/>
      <c r="HT144" s="91"/>
      <c r="HU144" s="91"/>
      <c r="HV144" s="91"/>
      <c r="HW144" s="91"/>
      <c r="HX144" s="91"/>
      <c r="HY144" s="91"/>
      <c r="HZ144" s="91"/>
      <c r="IA144" s="91"/>
      <c r="IB144" s="91"/>
      <c r="IC144" s="91"/>
      <c r="ID144" s="91"/>
      <c r="IE144" s="91"/>
      <c r="IF144" s="91"/>
      <c r="IG144" s="91"/>
      <c r="IH144" s="91"/>
      <c r="II144" s="91"/>
      <c r="IJ144" s="91"/>
      <c r="IK144" s="91"/>
      <c r="IL144" s="91"/>
      <c r="IM144" s="91"/>
      <c r="IN144" s="91"/>
      <c r="IO144" s="91"/>
      <c r="IP144" s="91"/>
      <c r="IQ144" s="91"/>
      <c r="IR144" s="91"/>
      <c r="IS144" s="91"/>
      <c r="IT144" s="91"/>
      <c r="IU144" s="91"/>
      <c r="IV144" s="91"/>
    </row>
    <row r="145" s="92" customFormat="1" ht="20.1" customHeight="1" spans="1:256">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c r="BI145" s="91"/>
      <c r="BJ145" s="91"/>
      <c r="BK145" s="91"/>
      <c r="BL145" s="91"/>
      <c r="BM145" s="91"/>
      <c r="BN145" s="91"/>
      <c r="BO145" s="91"/>
      <c r="BP145" s="91"/>
      <c r="BQ145" s="91"/>
      <c r="BR145" s="91"/>
      <c r="BS145" s="91"/>
      <c r="BT145" s="91"/>
      <c r="BU145" s="91"/>
      <c r="BV145" s="91"/>
      <c r="BW145" s="91"/>
      <c r="BX145" s="91"/>
      <c r="BY145" s="91"/>
      <c r="BZ145" s="91"/>
      <c r="CA145" s="91"/>
      <c r="CB145" s="91"/>
      <c r="CC145" s="91"/>
      <c r="CD145" s="91"/>
      <c r="CE145" s="91"/>
      <c r="CF145" s="91"/>
      <c r="CG145" s="91"/>
      <c r="CH145" s="91"/>
      <c r="CI145" s="91"/>
      <c r="CJ145" s="91"/>
      <c r="CK145" s="91"/>
      <c r="CL145" s="91"/>
      <c r="CM145" s="91"/>
      <c r="CN145" s="91"/>
      <c r="CO145" s="91"/>
      <c r="CP145" s="91"/>
      <c r="CQ145" s="91"/>
      <c r="CR145" s="91"/>
      <c r="CS145" s="91"/>
      <c r="CT145" s="91"/>
      <c r="CU145" s="91"/>
      <c r="CV145" s="91"/>
      <c r="CW145" s="91"/>
      <c r="CX145" s="91"/>
      <c r="CY145" s="91"/>
      <c r="CZ145" s="91"/>
      <c r="DA145" s="91"/>
      <c r="DB145" s="91"/>
      <c r="DC145" s="91"/>
      <c r="DD145" s="91"/>
      <c r="DE145" s="91"/>
      <c r="DF145" s="91"/>
      <c r="DG145" s="91"/>
      <c r="DH145" s="91"/>
      <c r="DI145" s="91"/>
      <c r="DJ145" s="91"/>
      <c r="DK145" s="91"/>
      <c r="DL145" s="91"/>
      <c r="DM145" s="91"/>
      <c r="DN145" s="91"/>
      <c r="DO145" s="91"/>
      <c r="DP145" s="91"/>
      <c r="DQ145" s="91"/>
      <c r="DR145" s="91"/>
      <c r="DS145" s="91"/>
      <c r="DT145" s="91"/>
      <c r="DU145" s="91"/>
      <c r="DV145" s="91"/>
      <c r="DW145" s="91"/>
      <c r="DX145" s="91"/>
      <c r="DY145" s="91"/>
      <c r="DZ145" s="91"/>
      <c r="EA145" s="91"/>
      <c r="EB145" s="91"/>
      <c r="EC145" s="91"/>
      <c r="ED145" s="91"/>
      <c r="EE145" s="91"/>
      <c r="EF145" s="91"/>
      <c r="EG145" s="91"/>
      <c r="EH145" s="91"/>
      <c r="EI145" s="91"/>
      <c r="EJ145" s="91"/>
      <c r="EK145" s="91"/>
      <c r="EL145" s="91"/>
      <c r="EM145" s="91"/>
      <c r="EN145" s="91"/>
      <c r="EO145" s="91"/>
      <c r="EP145" s="91"/>
      <c r="EQ145" s="91"/>
      <c r="ER145" s="91"/>
      <c r="ES145" s="91"/>
      <c r="ET145" s="91"/>
      <c r="EU145" s="91"/>
      <c r="EV145" s="91"/>
      <c r="EW145" s="91"/>
      <c r="EX145" s="91"/>
      <c r="EY145" s="91"/>
      <c r="EZ145" s="91"/>
      <c r="FA145" s="91"/>
      <c r="FB145" s="91"/>
      <c r="FC145" s="91"/>
      <c r="FD145" s="91"/>
      <c r="FE145" s="91"/>
      <c r="FF145" s="91"/>
      <c r="FG145" s="91"/>
      <c r="FH145" s="91"/>
      <c r="FI145" s="91"/>
      <c r="FJ145" s="91"/>
      <c r="FK145" s="91"/>
      <c r="FL145" s="91"/>
      <c r="FM145" s="91"/>
      <c r="FN145" s="91"/>
      <c r="FO145" s="91"/>
      <c r="FP145" s="91"/>
      <c r="FQ145" s="91"/>
      <c r="FR145" s="91"/>
      <c r="FS145" s="91"/>
      <c r="FT145" s="91"/>
      <c r="FU145" s="91"/>
      <c r="FV145" s="91"/>
      <c r="FW145" s="91"/>
      <c r="FX145" s="91"/>
      <c r="FY145" s="91"/>
      <c r="FZ145" s="91"/>
      <c r="GA145" s="91"/>
      <c r="GB145" s="91"/>
      <c r="GC145" s="91"/>
      <c r="GD145" s="91"/>
      <c r="GE145" s="91"/>
      <c r="GF145" s="91"/>
      <c r="GG145" s="91"/>
      <c r="GH145" s="91"/>
      <c r="GI145" s="91"/>
      <c r="GJ145" s="91"/>
      <c r="GK145" s="91"/>
      <c r="GL145" s="91"/>
      <c r="GM145" s="91"/>
      <c r="GN145" s="91"/>
      <c r="GO145" s="91"/>
      <c r="GP145" s="91"/>
      <c r="GQ145" s="91"/>
      <c r="GR145" s="91"/>
      <c r="GS145" s="91"/>
      <c r="GT145" s="91"/>
      <c r="GU145" s="91"/>
      <c r="GV145" s="91"/>
      <c r="GW145" s="91"/>
      <c r="GX145" s="91"/>
      <c r="GY145" s="91"/>
      <c r="GZ145" s="91"/>
      <c r="HA145" s="91"/>
      <c r="HB145" s="91"/>
      <c r="HC145" s="91"/>
      <c r="HD145" s="91"/>
      <c r="HE145" s="91"/>
      <c r="HF145" s="91"/>
      <c r="HG145" s="91"/>
      <c r="HH145" s="91"/>
      <c r="HI145" s="91"/>
      <c r="HJ145" s="91"/>
      <c r="HK145" s="91"/>
      <c r="HL145" s="91"/>
      <c r="HM145" s="91"/>
      <c r="HN145" s="91"/>
      <c r="HO145" s="91"/>
      <c r="HP145" s="91"/>
      <c r="HQ145" s="91"/>
      <c r="HR145" s="91"/>
      <c r="HS145" s="91"/>
      <c r="HT145" s="91"/>
      <c r="HU145" s="91"/>
      <c r="HV145" s="91"/>
      <c r="HW145" s="91"/>
      <c r="HX145" s="91"/>
      <c r="HY145" s="91"/>
      <c r="HZ145" s="91"/>
      <c r="IA145" s="91"/>
      <c r="IB145" s="91"/>
      <c r="IC145" s="91"/>
      <c r="ID145" s="91"/>
      <c r="IE145" s="91"/>
      <c r="IF145" s="91"/>
      <c r="IG145" s="91"/>
      <c r="IH145" s="91"/>
      <c r="II145" s="91"/>
      <c r="IJ145" s="91"/>
      <c r="IK145" s="91"/>
      <c r="IL145" s="91"/>
      <c r="IM145" s="91"/>
      <c r="IN145" s="91"/>
      <c r="IO145" s="91"/>
      <c r="IP145" s="91"/>
      <c r="IQ145" s="91"/>
      <c r="IR145" s="91"/>
      <c r="IS145" s="91"/>
      <c r="IT145" s="91"/>
      <c r="IU145" s="91"/>
      <c r="IV145" s="91"/>
    </row>
    <row r="146" s="92" customFormat="1" ht="20.1" customHeight="1" spans="1:256">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91"/>
      <c r="BK146" s="91"/>
      <c r="BL146" s="91"/>
      <c r="BM146" s="91"/>
      <c r="BN146" s="91"/>
      <c r="BO146" s="91"/>
      <c r="BP146" s="91"/>
      <c r="BQ146" s="91"/>
      <c r="BR146" s="91"/>
      <c r="BS146" s="91"/>
      <c r="BT146" s="91"/>
      <c r="BU146" s="91"/>
      <c r="BV146" s="91"/>
      <c r="BW146" s="91"/>
      <c r="BX146" s="91"/>
      <c r="BY146" s="91"/>
      <c r="BZ146" s="91"/>
      <c r="CA146" s="91"/>
      <c r="CB146" s="91"/>
      <c r="CC146" s="91"/>
      <c r="CD146" s="91"/>
      <c r="CE146" s="91"/>
      <c r="CF146" s="91"/>
      <c r="CG146" s="91"/>
      <c r="CH146" s="91"/>
      <c r="CI146" s="91"/>
      <c r="CJ146" s="91"/>
      <c r="CK146" s="91"/>
      <c r="CL146" s="91"/>
      <c r="CM146" s="91"/>
      <c r="CN146" s="91"/>
      <c r="CO146" s="91"/>
      <c r="CP146" s="91"/>
      <c r="CQ146" s="91"/>
      <c r="CR146" s="91"/>
      <c r="CS146" s="91"/>
      <c r="CT146" s="91"/>
      <c r="CU146" s="91"/>
      <c r="CV146" s="91"/>
      <c r="CW146" s="91"/>
      <c r="CX146" s="91"/>
      <c r="CY146" s="91"/>
      <c r="CZ146" s="91"/>
      <c r="DA146" s="91"/>
      <c r="DB146" s="91"/>
      <c r="DC146" s="91"/>
      <c r="DD146" s="91"/>
      <c r="DE146" s="91"/>
      <c r="DF146" s="91"/>
      <c r="DG146" s="91"/>
      <c r="DH146" s="91"/>
      <c r="DI146" s="91"/>
      <c r="DJ146" s="91"/>
      <c r="DK146" s="91"/>
      <c r="DL146" s="91"/>
      <c r="DM146" s="91"/>
      <c r="DN146" s="91"/>
      <c r="DO146" s="91"/>
      <c r="DP146" s="91"/>
      <c r="DQ146" s="91"/>
      <c r="DR146" s="91"/>
      <c r="DS146" s="91"/>
      <c r="DT146" s="91"/>
      <c r="DU146" s="91"/>
      <c r="DV146" s="91"/>
      <c r="DW146" s="91"/>
      <c r="DX146" s="91"/>
      <c r="DY146" s="91"/>
      <c r="DZ146" s="91"/>
      <c r="EA146" s="91"/>
      <c r="EB146" s="91"/>
      <c r="EC146" s="91"/>
      <c r="ED146" s="91"/>
      <c r="EE146" s="91"/>
      <c r="EF146" s="91"/>
      <c r="EG146" s="91"/>
      <c r="EH146" s="91"/>
      <c r="EI146" s="91"/>
      <c r="EJ146" s="91"/>
      <c r="EK146" s="91"/>
      <c r="EL146" s="91"/>
      <c r="EM146" s="91"/>
      <c r="EN146" s="91"/>
      <c r="EO146" s="91"/>
      <c r="EP146" s="91"/>
      <c r="EQ146" s="91"/>
      <c r="ER146" s="91"/>
      <c r="ES146" s="91"/>
      <c r="ET146" s="91"/>
      <c r="EU146" s="91"/>
      <c r="EV146" s="91"/>
      <c r="EW146" s="91"/>
      <c r="EX146" s="91"/>
      <c r="EY146" s="91"/>
      <c r="EZ146" s="91"/>
      <c r="FA146" s="91"/>
      <c r="FB146" s="91"/>
      <c r="FC146" s="91"/>
      <c r="FD146" s="91"/>
      <c r="FE146" s="91"/>
      <c r="FF146" s="91"/>
      <c r="FG146" s="91"/>
      <c r="FH146" s="91"/>
      <c r="FI146" s="91"/>
      <c r="FJ146" s="91"/>
      <c r="FK146" s="91"/>
      <c r="FL146" s="91"/>
      <c r="FM146" s="91"/>
      <c r="FN146" s="91"/>
      <c r="FO146" s="91"/>
      <c r="FP146" s="91"/>
      <c r="FQ146" s="91"/>
      <c r="FR146" s="91"/>
      <c r="FS146" s="91"/>
      <c r="FT146" s="91"/>
      <c r="FU146" s="91"/>
      <c r="FV146" s="91"/>
      <c r="FW146" s="91"/>
      <c r="FX146" s="91"/>
      <c r="FY146" s="91"/>
      <c r="FZ146" s="91"/>
      <c r="GA146" s="91"/>
      <c r="GB146" s="91"/>
      <c r="GC146" s="91"/>
      <c r="GD146" s="91"/>
      <c r="GE146" s="91"/>
      <c r="GF146" s="91"/>
      <c r="GG146" s="91"/>
      <c r="GH146" s="91"/>
      <c r="GI146" s="91"/>
      <c r="GJ146" s="91"/>
      <c r="GK146" s="91"/>
      <c r="GL146" s="91"/>
      <c r="GM146" s="91"/>
      <c r="GN146" s="91"/>
      <c r="GO146" s="91"/>
      <c r="GP146" s="91"/>
      <c r="GQ146" s="91"/>
      <c r="GR146" s="91"/>
      <c r="GS146" s="91"/>
      <c r="GT146" s="91"/>
      <c r="GU146" s="91"/>
      <c r="GV146" s="91"/>
      <c r="GW146" s="91"/>
      <c r="GX146" s="91"/>
      <c r="GY146" s="91"/>
      <c r="GZ146" s="91"/>
      <c r="HA146" s="91"/>
      <c r="HB146" s="91"/>
      <c r="HC146" s="91"/>
      <c r="HD146" s="91"/>
      <c r="HE146" s="91"/>
      <c r="HF146" s="91"/>
      <c r="HG146" s="91"/>
      <c r="HH146" s="91"/>
      <c r="HI146" s="91"/>
      <c r="HJ146" s="91"/>
      <c r="HK146" s="91"/>
      <c r="HL146" s="91"/>
      <c r="HM146" s="91"/>
      <c r="HN146" s="91"/>
      <c r="HO146" s="91"/>
      <c r="HP146" s="91"/>
      <c r="HQ146" s="91"/>
      <c r="HR146" s="91"/>
      <c r="HS146" s="91"/>
      <c r="HT146" s="91"/>
      <c r="HU146" s="91"/>
      <c r="HV146" s="91"/>
      <c r="HW146" s="91"/>
      <c r="HX146" s="91"/>
      <c r="HY146" s="91"/>
      <c r="HZ146" s="91"/>
      <c r="IA146" s="91"/>
      <c r="IB146" s="91"/>
      <c r="IC146" s="91"/>
      <c r="ID146" s="91"/>
      <c r="IE146" s="91"/>
      <c r="IF146" s="91"/>
      <c r="IG146" s="91"/>
      <c r="IH146" s="91"/>
      <c r="II146" s="91"/>
      <c r="IJ146" s="91"/>
      <c r="IK146" s="91"/>
      <c r="IL146" s="91"/>
      <c r="IM146" s="91"/>
      <c r="IN146" s="91"/>
      <c r="IO146" s="91"/>
      <c r="IP146" s="91"/>
      <c r="IQ146" s="91"/>
      <c r="IR146" s="91"/>
      <c r="IS146" s="91"/>
      <c r="IT146" s="91"/>
      <c r="IU146" s="91"/>
      <c r="IV146" s="91"/>
    </row>
    <row r="147" s="92" customFormat="1" ht="20.1" customHeight="1" spans="1:256">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c r="BE147" s="91"/>
      <c r="BF147" s="91"/>
      <c r="BG147" s="91"/>
      <c r="BH147" s="91"/>
      <c r="BI147" s="91"/>
      <c r="BJ147" s="91"/>
      <c r="BK147" s="91"/>
      <c r="BL147" s="91"/>
      <c r="BM147" s="91"/>
      <c r="BN147" s="91"/>
      <c r="BO147" s="91"/>
      <c r="BP147" s="91"/>
      <c r="BQ147" s="91"/>
      <c r="BR147" s="91"/>
      <c r="BS147" s="91"/>
      <c r="BT147" s="91"/>
      <c r="BU147" s="91"/>
      <c r="BV147" s="91"/>
      <c r="BW147" s="91"/>
      <c r="BX147" s="91"/>
      <c r="BY147" s="91"/>
      <c r="BZ147" s="91"/>
      <c r="CA147" s="91"/>
      <c r="CB147" s="91"/>
      <c r="CC147" s="91"/>
      <c r="CD147" s="91"/>
      <c r="CE147" s="91"/>
      <c r="CF147" s="91"/>
      <c r="CG147" s="91"/>
      <c r="CH147" s="91"/>
      <c r="CI147" s="91"/>
      <c r="CJ147" s="91"/>
      <c r="CK147" s="91"/>
      <c r="CL147" s="91"/>
      <c r="CM147" s="91"/>
      <c r="CN147" s="91"/>
      <c r="CO147" s="91"/>
      <c r="CP147" s="91"/>
      <c r="CQ147" s="91"/>
      <c r="CR147" s="91"/>
      <c r="CS147" s="91"/>
      <c r="CT147" s="91"/>
      <c r="CU147" s="91"/>
      <c r="CV147" s="91"/>
      <c r="CW147" s="91"/>
      <c r="CX147" s="91"/>
      <c r="CY147" s="91"/>
      <c r="CZ147" s="91"/>
      <c r="DA147" s="91"/>
      <c r="DB147" s="91"/>
      <c r="DC147" s="91"/>
      <c r="DD147" s="91"/>
      <c r="DE147" s="91"/>
      <c r="DF147" s="91"/>
      <c r="DG147" s="91"/>
      <c r="DH147" s="91"/>
      <c r="DI147" s="91"/>
      <c r="DJ147" s="91"/>
      <c r="DK147" s="91"/>
      <c r="DL147" s="91"/>
      <c r="DM147" s="91"/>
      <c r="DN147" s="91"/>
      <c r="DO147" s="91"/>
      <c r="DP147" s="91"/>
      <c r="DQ147" s="91"/>
      <c r="DR147" s="91"/>
      <c r="DS147" s="91"/>
      <c r="DT147" s="91"/>
      <c r="DU147" s="91"/>
      <c r="DV147" s="91"/>
      <c r="DW147" s="91"/>
      <c r="DX147" s="91"/>
      <c r="DY147" s="91"/>
      <c r="DZ147" s="91"/>
      <c r="EA147" s="91"/>
      <c r="EB147" s="91"/>
      <c r="EC147" s="91"/>
      <c r="ED147" s="91"/>
      <c r="EE147" s="91"/>
      <c r="EF147" s="91"/>
      <c r="EG147" s="91"/>
      <c r="EH147" s="91"/>
      <c r="EI147" s="91"/>
      <c r="EJ147" s="91"/>
      <c r="EK147" s="91"/>
      <c r="EL147" s="91"/>
      <c r="EM147" s="91"/>
      <c r="EN147" s="91"/>
      <c r="EO147" s="91"/>
      <c r="EP147" s="91"/>
      <c r="EQ147" s="91"/>
      <c r="ER147" s="91"/>
      <c r="ES147" s="91"/>
      <c r="ET147" s="91"/>
      <c r="EU147" s="91"/>
      <c r="EV147" s="91"/>
      <c r="EW147" s="91"/>
      <c r="EX147" s="91"/>
      <c r="EY147" s="91"/>
      <c r="EZ147" s="91"/>
      <c r="FA147" s="91"/>
      <c r="FB147" s="91"/>
      <c r="FC147" s="91"/>
      <c r="FD147" s="91"/>
      <c r="FE147" s="91"/>
      <c r="FF147" s="91"/>
      <c r="FG147" s="91"/>
      <c r="FH147" s="91"/>
      <c r="FI147" s="91"/>
      <c r="FJ147" s="91"/>
      <c r="FK147" s="91"/>
      <c r="FL147" s="91"/>
      <c r="FM147" s="91"/>
      <c r="FN147" s="91"/>
      <c r="FO147" s="91"/>
      <c r="FP147" s="91"/>
      <c r="FQ147" s="91"/>
      <c r="FR147" s="91"/>
      <c r="FS147" s="91"/>
      <c r="FT147" s="91"/>
      <c r="FU147" s="91"/>
      <c r="FV147" s="91"/>
      <c r="FW147" s="91"/>
      <c r="FX147" s="91"/>
      <c r="FY147" s="91"/>
      <c r="FZ147" s="91"/>
      <c r="GA147" s="91"/>
      <c r="GB147" s="91"/>
      <c r="GC147" s="91"/>
      <c r="GD147" s="91"/>
      <c r="GE147" s="91"/>
      <c r="GF147" s="91"/>
      <c r="GG147" s="91"/>
      <c r="GH147" s="91"/>
      <c r="GI147" s="91"/>
      <c r="GJ147" s="91"/>
      <c r="GK147" s="91"/>
      <c r="GL147" s="91"/>
      <c r="GM147" s="91"/>
      <c r="GN147" s="91"/>
      <c r="GO147" s="91"/>
      <c r="GP147" s="91"/>
      <c r="GQ147" s="91"/>
      <c r="GR147" s="91"/>
      <c r="GS147" s="91"/>
      <c r="GT147" s="91"/>
      <c r="GU147" s="91"/>
      <c r="GV147" s="91"/>
      <c r="GW147" s="91"/>
      <c r="GX147" s="91"/>
      <c r="GY147" s="91"/>
      <c r="GZ147" s="91"/>
      <c r="HA147" s="91"/>
      <c r="HB147" s="91"/>
      <c r="HC147" s="91"/>
      <c r="HD147" s="91"/>
      <c r="HE147" s="91"/>
      <c r="HF147" s="91"/>
      <c r="HG147" s="91"/>
      <c r="HH147" s="91"/>
      <c r="HI147" s="91"/>
      <c r="HJ147" s="91"/>
      <c r="HK147" s="91"/>
      <c r="HL147" s="91"/>
      <c r="HM147" s="91"/>
      <c r="HN147" s="91"/>
      <c r="HO147" s="91"/>
      <c r="HP147" s="91"/>
      <c r="HQ147" s="91"/>
      <c r="HR147" s="91"/>
      <c r="HS147" s="91"/>
      <c r="HT147" s="91"/>
      <c r="HU147" s="91"/>
      <c r="HV147" s="91"/>
      <c r="HW147" s="91"/>
      <c r="HX147" s="91"/>
      <c r="HY147" s="91"/>
      <c r="HZ147" s="91"/>
      <c r="IA147" s="91"/>
      <c r="IB147" s="91"/>
      <c r="IC147" s="91"/>
      <c r="ID147" s="91"/>
      <c r="IE147" s="91"/>
      <c r="IF147" s="91"/>
      <c r="IG147" s="91"/>
      <c r="IH147" s="91"/>
      <c r="II147" s="91"/>
      <c r="IJ147" s="91"/>
      <c r="IK147" s="91"/>
      <c r="IL147" s="91"/>
      <c r="IM147" s="91"/>
      <c r="IN147" s="91"/>
      <c r="IO147" s="91"/>
      <c r="IP147" s="91"/>
      <c r="IQ147" s="91"/>
      <c r="IR147" s="91"/>
      <c r="IS147" s="91"/>
      <c r="IT147" s="91"/>
      <c r="IU147" s="91"/>
      <c r="IV147" s="91"/>
    </row>
    <row r="148" s="92" customFormat="1" ht="20.1" customHeight="1" spans="1:256">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1"/>
      <c r="AV148" s="91"/>
      <c r="AW148" s="91"/>
      <c r="AX148" s="91"/>
      <c r="AY148" s="91"/>
      <c r="AZ148" s="91"/>
      <c r="BA148" s="91"/>
      <c r="BB148" s="91"/>
      <c r="BC148" s="91"/>
      <c r="BD148" s="91"/>
      <c r="BE148" s="91"/>
      <c r="BF148" s="91"/>
      <c r="BG148" s="91"/>
      <c r="BH148" s="91"/>
      <c r="BI148" s="91"/>
      <c r="BJ148" s="91"/>
      <c r="BK148" s="91"/>
      <c r="BL148" s="91"/>
      <c r="BM148" s="91"/>
      <c r="BN148" s="91"/>
      <c r="BO148" s="91"/>
      <c r="BP148" s="91"/>
      <c r="BQ148" s="91"/>
      <c r="BR148" s="91"/>
      <c r="BS148" s="91"/>
      <c r="BT148" s="91"/>
      <c r="BU148" s="91"/>
      <c r="BV148" s="91"/>
      <c r="BW148" s="91"/>
      <c r="BX148" s="91"/>
      <c r="BY148" s="91"/>
      <c r="BZ148" s="91"/>
      <c r="CA148" s="91"/>
      <c r="CB148" s="91"/>
      <c r="CC148" s="91"/>
      <c r="CD148" s="91"/>
      <c r="CE148" s="91"/>
      <c r="CF148" s="91"/>
      <c r="CG148" s="91"/>
      <c r="CH148" s="91"/>
      <c r="CI148" s="91"/>
      <c r="CJ148" s="91"/>
      <c r="CK148" s="91"/>
      <c r="CL148" s="91"/>
      <c r="CM148" s="91"/>
      <c r="CN148" s="91"/>
      <c r="CO148" s="91"/>
      <c r="CP148" s="91"/>
      <c r="CQ148" s="91"/>
      <c r="CR148" s="91"/>
      <c r="CS148" s="91"/>
      <c r="CT148" s="91"/>
      <c r="CU148" s="91"/>
      <c r="CV148" s="91"/>
      <c r="CW148" s="91"/>
      <c r="CX148" s="91"/>
      <c r="CY148" s="91"/>
      <c r="CZ148" s="91"/>
      <c r="DA148" s="91"/>
      <c r="DB148" s="91"/>
      <c r="DC148" s="91"/>
      <c r="DD148" s="91"/>
      <c r="DE148" s="91"/>
      <c r="DF148" s="91"/>
      <c r="DG148" s="91"/>
      <c r="DH148" s="91"/>
      <c r="DI148" s="91"/>
      <c r="DJ148" s="91"/>
      <c r="DK148" s="91"/>
      <c r="DL148" s="91"/>
      <c r="DM148" s="91"/>
      <c r="DN148" s="91"/>
      <c r="DO148" s="91"/>
      <c r="DP148" s="91"/>
      <c r="DQ148" s="91"/>
      <c r="DR148" s="91"/>
      <c r="DS148" s="91"/>
      <c r="DT148" s="91"/>
      <c r="DU148" s="91"/>
      <c r="DV148" s="91"/>
      <c r="DW148" s="91"/>
      <c r="DX148" s="91"/>
      <c r="DY148" s="91"/>
      <c r="DZ148" s="91"/>
      <c r="EA148" s="91"/>
      <c r="EB148" s="91"/>
      <c r="EC148" s="91"/>
      <c r="ED148" s="91"/>
      <c r="EE148" s="91"/>
      <c r="EF148" s="91"/>
      <c r="EG148" s="91"/>
      <c r="EH148" s="91"/>
      <c r="EI148" s="91"/>
      <c r="EJ148" s="91"/>
      <c r="EK148" s="91"/>
      <c r="EL148" s="91"/>
      <c r="EM148" s="91"/>
      <c r="EN148" s="91"/>
      <c r="EO148" s="91"/>
      <c r="EP148" s="91"/>
      <c r="EQ148" s="91"/>
      <c r="ER148" s="91"/>
      <c r="ES148" s="91"/>
      <c r="ET148" s="91"/>
      <c r="EU148" s="91"/>
      <c r="EV148" s="91"/>
      <c r="EW148" s="91"/>
      <c r="EX148" s="91"/>
      <c r="EY148" s="91"/>
      <c r="EZ148" s="91"/>
      <c r="FA148" s="91"/>
      <c r="FB148" s="91"/>
      <c r="FC148" s="91"/>
      <c r="FD148" s="91"/>
      <c r="FE148" s="91"/>
      <c r="FF148" s="91"/>
      <c r="FG148" s="91"/>
      <c r="FH148" s="91"/>
      <c r="FI148" s="91"/>
      <c r="FJ148" s="91"/>
      <c r="FK148" s="91"/>
      <c r="FL148" s="91"/>
      <c r="FM148" s="91"/>
      <c r="FN148" s="91"/>
      <c r="FO148" s="91"/>
      <c r="FP148" s="91"/>
      <c r="FQ148" s="91"/>
      <c r="FR148" s="91"/>
      <c r="FS148" s="91"/>
      <c r="FT148" s="91"/>
      <c r="FU148" s="91"/>
      <c r="FV148" s="91"/>
      <c r="FW148" s="91"/>
      <c r="FX148" s="91"/>
      <c r="FY148" s="91"/>
      <c r="FZ148" s="91"/>
      <c r="GA148" s="91"/>
      <c r="GB148" s="91"/>
      <c r="GC148" s="91"/>
      <c r="GD148" s="91"/>
      <c r="GE148" s="91"/>
      <c r="GF148" s="91"/>
      <c r="GG148" s="91"/>
      <c r="GH148" s="91"/>
      <c r="GI148" s="91"/>
      <c r="GJ148" s="91"/>
      <c r="GK148" s="91"/>
      <c r="GL148" s="91"/>
      <c r="GM148" s="91"/>
      <c r="GN148" s="91"/>
      <c r="GO148" s="91"/>
      <c r="GP148" s="91"/>
      <c r="GQ148" s="91"/>
      <c r="GR148" s="91"/>
      <c r="GS148" s="91"/>
      <c r="GT148" s="91"/>
      <c r="GU148" s="91"/>
      <c r="GV148" s="91"/>
      <c r="GW148" s="91"/>
      <c r="GX148" s="91"/>
      <c r="GY148" s="91"/>
      <c r="GZ148" s="91"/>
      <c r="HA148" s="91"/>
      <c r="HB148" s="91"/>
      <c r="HC148" s="91"/>
      <c r="HD148" s="91"/>
      <c r="HE148" s="91"/>
      <c r="HF148" s="91"/>
      <c r="HG148" s="91"/>
      <c r="HH148" s="91"/>
      <c r="HI148" s="91"/>
      <c r="HJ148" s="91"/>
      <c r="HK148" s="91"/>
      <c r="HL148" s="91"/>
      <c r="HM148" s="91"/>
      <c r="HN148" s="91"/>
      <c r="HO148" s="91"/>
      <c r="HP148" s="91"/>
      <c r="HQ148" s="91"/>
      <c r="HR148" s="91"/>
      <c r="HS148" s="91"/>
      <c r="HT148" s="91"/>
      <c r="HU148" s="91"/>
      <c r="HV148" s="91"/>
      <c r="HW148" s="91"/>
      <c r="HX148" s="91"/>
      <c r="HY148" s="91"/>
      <c r="HZ148" s="91"/>
      <c r="IA148" s="91"/>
      <c r="IB148" s="91"/>
      <c r="IC148" s="91"/>
      <c r="ID148" s="91"/>
      <c r="IE148" s="91"/>
      <c r="IF148" s="91"/>
      <c r="IG148" s="91"/>
      <c r="IH148" s="91"/>
      <c r="II148" s="91"/>
      <c r="IJ148" s="91"/>
      <c r="IK148" s="91"/>
      <c r="IL148" s="91"/>
      <c r="IM148" s="91"/>
      <c r="IN148" s="91"/>
      <c r="IO148" s="91"/>
      <c r="IP148" s="91"/>
      <c r="IQ148" s="91"/>
      <c r="IR148" s="91"/>
      <c r="IS148" s="91"/>
      <c r="IT148" s="91"/>
      <c r="IU148" s="91"/>
      <c r="IV148" s="91"/>
    </row>
    <row r="149" s="92" customFormat="1" ht="20.1" customHeight="1" spans="1:256">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91"/>
      <c r="BC149" s="91"/>
      <c r="BD149" s="91"/>
      <c r="BE149" s="91"/>
      <c r="BF149" s="91"/>
      <c r="BG149" s="91"/>
      <c r="BH149" s="91"/>
      <c r="BI149" s="91"/>
      <c r="BJ149" s="91"/>
      <c r="BK149" s="91"/>
      <c r="BL149" s="91"/>
      <c r="BM149" s="91"/>
      <c r="BN149" s="91"/>
      <c r="BO149" s="91"/>
      <c r="BP149" s="91"/>
      <c r="BQ149" s="91"/>
      <c r="BR149" s="91"/>
      <c r="BS149" s="91"/>
      <c r="BT149" s="91"/>
      <c r="BU149" s="91"/>
      <c r="BV149" s="91"/>
      <c r="BW149" s="91"/>
      <c r="BX149" s="91"/>
      <c r="BY149" s="91"/>
      <c r="BZ149" s="91"/>
      <c r="CA149" s="91"/>
      <c r="CB149" s="91"/>
      <c r="CC149" s="91"/>
      <c r="CD149" s="91"/>
      <c r="CE149" s="91"/>
      <c r="CF149" s="91"/>
      <c r="CG149" s="91"/>
      <c r="CH149" s="91"/>
      <c r="CI149" s="91"/>
      <c r="CJ149" s="91"/>
      <c r="CK149" s="91"/>
      <c r="CL149" s="91"/>
      <c r="CM149" s="91"/>
      <c r="CN149" s="91"/>
      <c r="CO149" s="91"/>
      <c r="CP149" s="91"/>
      <c r="CQ149" s="91"/>
      <c r="CR149" s="91"/>
      <c r="CS149" s="91"/>
      <c r="CT149" s="91"/>
      <c r="CU149" s="91"/>
      <c r="CV149" s="91"/>
      <c r="CW149" s="91"/>
      <c r="CX149" s="91"/>
      <c r="CY149" s="91"/>
      <c r="CZ149" s="91"/>
      <c r="DA149" s="91"/>
      <c r="DB149" s="91"/>
      <c r="DC149" s="91"/>
      <c r="DD149" s="91"/>
      <c r="DE149" s="91"/>
      <c r="DF149" s="91"/>
      <c r="DG149" s="91"/>
      <c r="DH149" s="91"/>
      <c r="DI149" s="91"/>
      <c r="DJ149" s="91"/>
      <c r="DK149" s="91"/>
      <c r="DL149" s="91"/>
      <c r="DM149" s="91"/>
      <c r="DN149" s="91"/>
      <c r="DO149" s="91"/>
      <c r="DP149" s="91"/>
      <c r="DQ149" s="91"/>
      <c r="DR149" s="91"/>
      <c r="DS149" s="91"/>
      <c r="DT149" s="91"/>
      <c r="DU149" s="91"/>
      <c r="DV149" s="91"/>
      <c r="DW149" s="91"/>
      <c r="DX149" s="91"/>
      <c r="DY149" s="91"/>
      <c r="DZ149" s="91"/>
      <c r="EA149" s="91"/>
      <c r="EB149" s="91"/>
      <c r="EC149" s="91"/>
      <c r="ED149" s="91"/>
      <c r="EE149" s="91"/>
      <c r="EF149" s="91"/>
      <c r="EG149" s="91"/>
      <c r="EH149" s="91"/>
      <c r="EI149" s="91"/>
      <c r="EJ149" s="91"/>
      <c r="EK149" s="91"/>
      <c r="EL149" s="91"/>
      <c r="EM149" s="91"/>
      <c r="EN149" s="91"/>
      <c r="EO149" s="91"/>
      <c r="EP149" s="91"/>
      <c r="EQ149" s="91"/>
      <c r="ER149" s="91"/>
      <c r="ES149" s="91"/>
      <c r="ET149" s="91"/>
      <c r="EU149" s="91"/>
      <c r="EV149" s="91"/>
      <c r="EW149" s="91"/>
      <c r="EX149" s="91"/>
      <c r="EY149" s="91"/>
      <c r="EZ149" s="91"/>
      <c r="FA149" s="91"/>
      <c r="FB149" s="91"/>
      <c r="FC149" s="91"/>
      <c r="FD149" s="91"/>
      <c r="FE149" s="91"/>
      <c r="FF149" s="91"/>
      <c r="FG149" s="91"/>
      <c r="FH149" s="91"/>
      <c r="FI149" s="91"/>
      <c r="FJ149" s="91"/>
      <c r="FK149" s="91"/>
      <c r="FL149" s="91"/>
      <c r="FM149" s="91"/>
      <c r="FN149" s="91"/>
      <c r="FO149" s="91"/>
      <c r="FP149" s="91"/>
      <c r="FQ149" s="91"/>
      <c r="FR149" s="91"/>
      <c r="FS149" s="91"/>
      <c r="FT149" s="91"/>
      <c r="FU149" s="91"/>
      <c r="FV149" s="91"/>
      <c r="FW149" s="91"/>
      <c r="FX149" s="91"/>
      <c r="FY149" s="91"/>
      <c r="FZ149" s="91"/>
      <c r="GA149" s="91"/>
      <c r="GB149" s="91"/>
      <c r="GC149" s="91"/>
      <c r="GD149" s="91"/>
      <c r="GE149" s="91"/>
      <c r="GF149" s="91"/>
      <c r="GG149" s="91"/>
      <c r="GH149" s="91"/>
      <c r="GI149" s="91"/>
      <c r="GJ149" s="91"/>
      <c r="GK149" s="91"/>
      <c r="GL149" s="91"/>
      <c r="GM149" s="91"/>
      <c r="GN149" s="91"/>
      <c r="GO149" s="91"/>
      <c r="GP149" s="91"/>
      <c r="GQ149" s="91"/>
      <c r="GR149" s="91"/>
      <c r="GS149" s="91"/>
      <c r="GT149" s="91"/>
      <c r="GU149" s="91"/>
      <c r="GV149" s="91"/>
      <c r="GW149" s="91"/>
      <c r="GX149" s="91"/>
      <c r="GY149" s="91"/>
      <c r="GZ149" s="91"/>
      <c r="HA149" s="91"/>
      <c r="HB149" s="91"/>
      <c r="HC149" s="91"/>
      <c r="HD149" s="91"/>
      <c r="HE149" s="91"/>
      <c r="HF149" s="91"/>
      <c r="HG149" s="91"/>
      <c r="HH149" s="91"/>
      <c r="HI149" s="91"/>
      <c r="HJ149" s="91"/>
      <c r="HK149" s="91"/>
      <c r="HL149" s="91"/>
      <c r="HM149" s="91"/>
      <c r="HN149" s="91"/>
      <c r="HO149" s="91"/>
      <c r="HP149" s="91"/>
      <c r="HQ149" s="91"/>
      <c r="HR149" s="91"/>
      <c r="HS149" s="91"/>
      <c r="HT149" s="91"/>
      <c r="HU149" s="91"/>
      <c r="HV149" s="91"/>
      <c r="HW149" s="91"/>
      <c r="HX149" s="91"/>
      <c r="HY149" s="91"/>
      <c r="HZ149" s="91"/>
      <c r="IA149" s="91"/>
      <c r="IB149" s="91"/>
      <c r="IC149" s="91"/>
      <c r="ID149" s="91"/>
      <c r="IE149" s="91"/>
      <c r="IF149" s="91"/>
      <c r="IG149" s="91"/>
      <c r="IH149" s="91"/>
      <c r="II149" s="91"/>
      <c r="IJ149" s="91"/>
      <c r="IK149" s="91"/>
      <c r="IL149" s="91"/>
      <c r="IM149" s="91"/>
      <c r="IN149" s="91"/>
      <c r="IO149" s="91"/>
      <c r="IP149" s="91"/>
      <c r="IQ149" s="91"/>
      <c r="IR149" s="91"/>
      <c r="IS149" s="91"/>
      <c r="IT149" s="91"/>
      <c r="IU149" s="91"/>
      <c r="IV149" s="91"/>
    </row>
    <row r="150" s="92" customFormat="1" ht="20.1" customHeight="1" spans="1:256">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c r="BE150" s="91"/>
      <c r="BF150" s="91"/>
      <c r="BG150" s="91"/>
      <c r="BH150" s="91"/>
      <c r="BI150" s="91"/>
      <c r="BJ150" s="91"/>
      <c r="BK150" s="91"/>
      <c r="BL150" s="91"/>
      <c r="BM150" s="91"/>
      <c r="BN150" s="91"/>
      <c r="BO150" s="91"/>
      <c r="BP150" s="91"/>
      <c r="BQ150" s="91"/>
      <c r="BR150" s="91"/>
      <c r="BS150" s="91"/>
      <c r="BT150" s="91"/>
      <c r="BU150" s="91"/>
      <c r="BV150" s="91"/>
      <c r="BW150" s="91"/>
      <c r="BX150" s="91"/>
      <c r="BY150" s="91"/>
      <c r="BZ150" s="91"/>
      <c r="CA150" s="91"/>
      <c r="CB150" s="91"/>
      <c r="CC150" s="91"/>
      <c r="CD150" s="91"/>
      <c r="CE150" s="91"/>
      <c r="CF150" s="91"/>
      <c r="CG150" s="91"/>
      <c r="CH150" s="91"/>
      <c r="CI150" s="91"/>
      <c r="CJ150" s="91"/>
      <c r="CK150" s="91"/>
      <c r="CL150" s="91"/>
      <c r="CM150" s="91"/>
      <c r="CN150" s="91"/>
      <c r="CO150" s="91"/>
      <c r="CP150" s="91"/>
      <c r="CQ150" s="91"/>
      <c r="CR150" s="91"/>
      <c r="CS150" s="91"/>
      <c r="CT150" s="91"/>
      <c r="CU150" s="91"/>
      <c r="CV150" s="91"/>
      <c r="CW150" s="91"/>
      <c r="CX150" s="91"/>
      <c r="CY150" s="91"/>
      <c r="CZ150" s="91"/>
      <c r="DA150" s="91"/>
      <c r="DB150" s="91"/>
      <c r="DC150" s="91"/>
      <c r="DD150" s="91"/>
      <c r="DE150" s="91"/>
      <c r="DF150" s="91"/>
      <c r="DG150" s="91"/>
      <c r="DH150" s="91"/>
      <c r="DI150" s="91"/>
      <c r="DJ150" s="91"/>
      <c r="DK150" s="91"/>
      <c r="DL150" s="91"/>
      <c r="DM150" s="91"/>
      <c r="DN150" s="91"/>
      <c r="DO150" s="91"/>
      <c r="DP150" s="91"/>
      <c r="DQ150" s="91"/>
      <c r="DR150" s="91"/>
      <c r="DS150" s="91"/>
      <c r="DT150" s="91"/>
      <c r="DU150" s="91"/>
      <c r="DV150" s="91"/>
      <c r="DW150" s="91"/>
      <c r="DX150" s="91"/>
      <c r="DY150" s="91"/>
      <c r="DZ150" s="91"/>
      <c r="EA150" s="91"/>
      <c r="EB150" s="91"/>
      <c r="EC150" s="91"/>
      <c r="ED150" s="91"/>
      <c r="EE150" s="91"/>
      <c r="EF150" s="91"/>
      <c r="EG150" s="91"/>
      <c r="EH150" s="91"/>
      <c r="EI150" s="91"/>
      <c r="EJ150" s="91"/>
      <c r="EK150" s="91"/>
      <c r="EL150" s="91"/>
      <c r="EM150" s="91"/>
      <c r="EN150" s="91"/>
      <c r="EO150" s="91"/>
      <c r="EP150" s="91"/>
      <c r="EQ150" s="91"/>
      <c r="ER150" s="91"/>
      <c r="ES150" s="91"/>
      <c r="ET150" s="91"/>
      <c r="EU150" s="91"/>
      <c r="EV150" s="91"/>
      <c r="EW150" s="91"/>
      <c r="EX150" s="91"/>
      <c r="EY150" s="91"/>
      <c r="EZ150" s="91"/>
      <c r="FA150" s="91"/>
      <c r="FB150" s="91"/>
      <c r="FC150" s="91"/>
      <c r="FD150" s="91"/>
      <c r="FE150" s="91"/>
      <c r="FF150" s="91"/>
      <c r="FG150" s="91"/>
      <c r="FH150" s="91"/>
      <c r="FI150" s="91"/>
      <c r="FJ150" s="91"/>
      <c r="FK150" s="91"/>
      <c r="FL150" s="91"/>
      <c r="FM150" s="91"/>
      <c r="FN150" s="91"/>
      <c r="FO150" s="91"/>
      <c r="FP150" s="91"/>
      <c r="FQ150" s="91"/>
      <c r="FR150" s="91"/>
      <c r="FS150" s="91"/>
      <c r="FT150" s="91"/>
      <c r="FU150" s="91"/>
      <c r="FV150" s="91"/>
      <c r="FW150" s="91"/>
      <c r="FX150" s="91"/>
      <c r="FY150" s="91"/>
      <c r="FZ150" s="91"/>
      <c r="GA150" s="91"/>
      <c r="GB150" s="91"/>
      <c r="GC150" s="91"/>
      <c r="GD150" s="91"/>
      <c r="GE150" s="91"/>
      <c r="GF150" s="91"/>
      <c r="GG150" s="91"/>
      <c r="GH150" s="91"/>
      <c r="GI150" s="91"/>
      <c r="GJ150" s="91"/>
      <c r="GK150" s="91"/>
      <c r="GL150" s="91"/>
      <c r="GM150" s="91"/>
      <c r="GN150" s="91"/>
      <c r="GO150" s="91"/>
      <c r="GP150" s="91"/>
      <c r="GQ150" s="91"/>
      <c r="GR150" s="91"/>
      <c r="GS150" s="91"/>
      <c r="GT150" s="91"/>
      <c r="GU150" s="91"/>
      <c r="GV150" s="91"/>
      <c r="GW150" s="91"/>
      <c r="GX150" s="91"/>
      <c r="GY150" s="91"/>
      <c r="GZ150" s="91"/>
      <c r="HA150" s="91"/>
      <c r="HB150" s="91"/>
      <c r="HC150" s="91"/>
      <c r="HD150" s="91"/>
      <c r="HE150" s="91"/>
      <c r="HF150" s="91"/>
      <c r="HG150" s="91"/>
      <c r="HH150" s="91"/>
      <c r="HI150" s="91"/>
      <c r="HJ150" s="91"/>
      <c r="HK150" s="91"/>
      <c r="HL150" s="91"/>
      <c r="HM150" s="91"/>
      <c r="HN150" s="91"/>
      <c r="HO150" s="91"/>
      <c r="HP150" s="91"/>
      <c r="HQ150" s="91"/>
      <c r="HR150" s="91"/>
      <c r="HS150" s="91"/>
      <c r="HT150" s="91"/>
      <c r="HU150" s="91"/>
      <c r="HV150" s="91"/>
      <c r="HW150" s="91"/>
      <c r="HX150" s="91"/>
      <c r="HY150" s="91"/>
      <c r="HZ150" s="91"/>
      <c r="IA150" s="91"/>
      <c r="IB150" s="91"/>
      <c r="IC150" s="91"/>
      <c r="ID150" s="91"/>
      <c r="IE150" s="91"/>
      <c r="IF150" s="91"/>
      <c r="IG150" s="91"/>
      <c r="IH150" s="91"/>
      <c r="II150" s="91"/>
      <c r="IJ150" s="91"/>
      <c r="IK150" s="91"/>
      <c r="IL150" s="91"/>
      <c r="IM150" s="91"/>
      <c r="IN150" s="91"/>
      <c r="IO150" s="91"/>
      <c r="IP150" s="91"/>
      <c r="IQ150" s="91"/>
      <c r="IR150" s="91"/>
      <c r="IS150" s="91"/>
      <c r="IT150" s="91"/>
      <c r="IU150" s="91"/>
      <c r="IV150" s="91"/>
    </row>
    <row r="151" s="92" customFormat="1" ht="20.1" customHeight="1" spans="1:256">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c r="BE151" s="91"/>
      <c r="BF151" s="91"/>
      <c r="BG151" s="91"/>
      <c r="BH151" s="91"/>
      <c r="BI151" s="91"/>
      <c r="BJ151" s="91"/>
      <c r="BK151" s="91"/>
      <c r="BL151" s="91"/>
      <c r="BM151" s="91"/>
      <c r="BN151" s="91"/>
      <c r="BO151" s="91"/>
      <c r="BP151" s="91"/>
      <c r="BQ151" s="91"/>
      <c r="BR151" s="91"/>
      <c r="BS151" s="91"/>
      <c r="BT151" s="91"/>
      <c r="BU151" s="91"/>
      <c r="BV151" s="91"/>
      <c r="BW151" s="91"/>
      <c r="BX151" s="91"/>
      <c r="BY151" s="91"/>
      <c r="BZ151" s="91"/>
      <c r="CA151" s="91"/>
      <c r="CB151" s="91"/>
      <c r="CC151" s="91"/>
      <c r="CD151" s="91"/>
      <c r="CE151" s="91"/>
      <c r="CF151" s="91"/>
      <c r="CG151" s="91"/>
      <c r="CH151" s="91"/>
      <c r="CI151" s="91"/>
      <c r="CJ151" s="91"/>
      <c r="CK151" s="91"/>
      <c r="CL151" s="91"/>
      <c r="CM151" s="91"/>
      <c r="CN151" s="91"/>
      <c r="CO151" s="91"/>
      <c r="CP151" s="91"/>
      <c r="CQ151" s="91"/>
      <c r="CR151" s="91"/>
      <c r="CS151" s="91"/>
      <c r="CT151" s="91"/>
      <c r="CU151" s="91"/>
      <c r="CV151" s="91"/>
      <c r="CW151" s="91"/>
      <c r="CX151" s="91"/>
      <c r="CY151" s="91"/>
      <c r="CZ151" s="91"/>
      <c r="DA151" s="91"/>
      <c r="DB151" s="91"/>
      <c r="DC151" s="91"/>
      <c r="DD151" s="91"/>
      <c r="DE151" s="91"/>
      <c r="DF151" s="91"/>
      <c r="DG151" s="91"/>
      <c r="DH151" s="91"/>
      <c r="DI151" s="91"/>
      <c r="DJ151" s="91"/>
      <c r="DK151" s="91"/>
      <c r="DL151" s="91"/>
      <c r="DM151" s="91"/>
      <c r="DN151" s="91"/>
      <c r="DO151" s="91"/>
      <c r="DP151" s="91"/>
      <c r="DQ151" s="91"/>
      <c r="DR151" s="91"/>
      <c r="DS151" s="91"/>
      <c r="DT151" s="91"/>
      <c r="DU151" s="91"/>
      <c r="DV151" s="91"/>
      <c r="DW151" s="91"/>
      <c r="DX151" s="91"/>
      <c r="DY151" s="91"/>
      <c r="DZ151" s="91"/>
      <c r="EA151" s="91"/>
      <c r="EB151" s="91"/>
      <c r="EC151" s="91"/>
      <c r="ED151" s="91"/>
      <c r="EE151" s="91"/>
      <c r="EF151" s="91"/>
      <c r="EG151" s="91"/>
      <c r="EH151" s="91"/>
      <c r="EI151" s="91"/>
      <c r="EJ151" s="91"/>
      <c r="EK151" s="91"/>
      <c r="EL151" s="91"/>
      <c r="EM151" s="91"/>
      <c r="EN151" s="91"/>
      <c r="EO151" s="91"/>
      <c r="EP151" s="91"/>
      <c r="EQ151" s="91"/>
      <c r="ER151" s="91"/>
      <c r="ES151" s="91"/>
      <c r="ET151" s="91"/>
      <c r="EU151" s="91"/>
      <c r="EV151" s="91"/>
      <c r="EW151" s="91"/>
      <c r="EX151" s="91"/>
      <c r="EY151" s="91"/>
      <c r="EZ151" s="91"/>
      <c r="FA151" s="91"/>
      <c r="FB151" s="91"/>
      <c r="FC151" s="91"/>
      <c r="FD151" s="91"/>
      <c r="FE151" s="91"/>
      <c r="FF151" s="91"/>
      <c r="FG151" s="91"/>
      <c r="FH151" s="91"/>
      <c r="FI151" s="91"/>
      <c r="FJ151" s="91"/>
      <c r="FK151" s="91"/>
      <c r="FL151" s="91"/>
      <c r="FM151" s="91"/>
      <c r="FN151" s="91"/>
      <c r="FO151" s="91"/>
      <c r="FP151" s="91"/>
      <c r="FQ151" s="91"/>
      <c r="FR151" s="91"/>
      <c r="FS151" s="91"/>
      <c r="FT151" s="91"/>
      <c r="FU151" s="91"/>
      <c r="FV151" s="91"/>
      <c r="FW151" s="91"/>
      <c r="FX151" s="91"/>
      <c r="FY151" s="91"/>
      <c r="FZ151" s="91"/>
      <c r="GA151" s="91"/>
      <c r="GB151" s="91"/>
      <c r="GC151" s="91"/>
      <c r="GD151" s="91"/>
      <c r="GE151" s="91"/>
      <c r="GF151" s="91"/>
      <c r="GG151" s="91"/>
      <c r="GH151" s="91"/>
      <c r="GI151" s="91"/>
      <c r="GJ151" s="91"/>
      <c r="GK151" s="91"/>
      <c r="GL151" s="91"/>
      <c r="GM151" s="91"/>
      <c r="GN151" s="91"/>
      <c r="GO151" s="91"/>
      <c r="GP151" s="91"/>
      <c r="GQ151" s="91"/>
      <c r="GR151" s="91"/>
      <c r="GS151" s="91"/>
      <c r="GT151" s="91"/>
      <c r="GU151" s="91"/>
      <c r="GV151" s="91"/>
      <c r="GW151" s="91"/>
      <c r="GX151" s="91"/>
      <c r="GY151" s="91"/>
      <c r="GZ151" s="91"/>
      <c r="HA151" s="91"/>
      <c r="HB151" s="91"/>
      <c r="HC151" s="91"/>
      <c r="HD151" s="91"/>
      <c r="HE151" s="91"/>
      <c r="HF151" s="91"/>
      <c r="HG151" s="91"/>
      <c r="HH151" s="91"/>
      <c r="HI151" s="91"/>
      <c r="HJ151" s="91"/>
      <c r="HK151" s="91"/>
      <c r="HL151" s="91"/>
      <c r="HM151" s="91"/>
      <c r="HN151" s="91"/>
      <c r="HO151" s="91"/>
      <c r="HP151" s="91"/>
      <c r="HQ151" s="91"/>
      <c r="HR151" s="91"/>
      <c r="HS151" s="91"/>
      <c r="HT151" s="91"/>
      <c r="HU151" s="91"/>
      <c r="HV151" s="91"/>
      <c r="HW151" s="91"/>
      <c r="HX151" s="91"/>
      <c r="HY151" s="91"/>
      <c r="HZ151" s="91"/>
      <c r="IA151" s="91"/>
      <c r="IB151" s="91"/>
      <c r="IC151" s="91"/>
      <c r="ID151" s="91"/>
      <c r="IE151" s="91"/>
      <c r="IF151" s="91"/>
      <c r="IG151" s="91"/>
      <c r="IH151" s="91"/>
      <c r="II151" s="91"/>
      <c r="IJ151" s="91"/>
      <c r="IK151" s="91"/>
      <c r="IL151" s="91"/>
      <c r="IM151" s="91"/>
      <c r="IN151" s="91"/>
      <c r="IO151" s="91"/>
      <c r="IP151" s="91"/>
      <c r="IQ151" s="91"/>
      <c r="IR151" s="91"/>
      <c r="IS151" s="91"/>
      <c r="IT151" s="91"/>
      <c r="IU151" s="91"/>
      <c r="IV151" s="91"/>
    </row>
    <row r="152" s="92" customFormat="1" ht="20.1" customHeight="1" spans="1:256">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91"/>
      <c r="BI152" s="91"/>
      <c r="BJ152" s="91"/>
      <c r="BK152" s="91"/>
      <c r="BL152" s="91"/>
      <c r="BM152" s="91"/>
      <c r="BN152" s="91"/>
      <c r="BO152" s="91"/>
      <c r="BP152" s="91"/>
      <c r="BQ152" s="91"/>
      <c r="BR152" s="91"/>
      <c r="BS152" s="91"/>
      <c r="BT152" s="91"/>
      <c r="BU152" s="91"/>
      <c r="BV152" s="91"/>
      <c r="BW152" s="91"/>
      <c r="BX152" s="91"/>
      <c r="BY152" s="91"/>
      <c r="BZ152" s="91"/>
      <c r="CA152" s="91"/>
      <c r="CB152" s="91"/>
      <c r="CC152" s="91"/>
      <c r="CD152" s="91"/>
      <c r="CE152" s="91"/>
      <c r="CF152" s="91"/>
      <c r="CG152" s="91"/>
      <c r="CH152" s="91"/>
      <c r="CI152" s="91"/>
      <c r="CJ152" s="91"/>
      <c r="CK152" s="91"/>
      <c r="CL152" s="91"/>
      <c r="CM152" s="91"/>
      <c r="CN152" s="91"/>
      <c r="CO152" s="91"/>
      <c r="CP152" s="91"/>
      <c r="CQ152" s="91"/>
      <c r="CR152" s="91"/>
      <c r="CS152" s="91"/>
      <c r="CT152" s="91"/>
      <c r="CU152" s="91"/>
      <c r="CV152" s="91"/>
      <c r="CW152" s="91"/>
      <c r="CX152" s="91"/>
      <c r="CY152" s="91"/>
      <c r="CZ152" s="91"/>
      <c r="DA152" s="91"/>
      <c r="DB152" s="91"/>
      <c r="DC152" s="91"/>
      <c r="DD152" s="91"/>
      <c r="DE152" s="91"/>
      <c r="DF152" s="91"/>
      <c r="DG152" s="91"/>
      <c r="DH152" s="91"/>
      <c r="DI152" s="91"/>
      <c r="DJ152" s="91"/>
      <c r="DK152" s="91"/>
      <c r="DL152" s="91"/>
      <c r="DM152" s="91"/>
      <c r="DN152" s="91"/>
      <c r="DO152" s="91"/>
      <c r="DP152" s="91"/>
      <c r="DQ152" s="91"/>
      <c r="DR152" s="91"/>
      <c r="DS152" s="91"/>
      <c r="DT152" s="91"/>
      <c r="DU152" s="91"/>
      <c r="DV152" s="91"/>
      <c r="DW152" s="91"/>
      <c r="DX152" s="91"/>
      <c r="DY152" s="91"/>
      <c r="DZ152" s="91"/>
      <c r="EA152" s="91"/>
      <c r="EB152" s="91"/>
      <c r="EC152" s="91"/>
      <c r="ED152" s="91"/>
      <c r="EE152" s="91"/>
      <c r="EF152" s="91"/>
      <c r="EG152" s="91"/>
      <c r="EH152" s="91"/>
      <c r="EI152" s="91"/>
      <c r="EJ152" s="91"/>
      <c r="EK152" s="91"/>
      <c r="EL152" s="91"/>
      <c r="EM152" s="91"/>
      <c r="EN152" s="91"/>
      <c r="EO152" s="91"/>
      <c r="EP152" s="91"/>
      <c r="EQ152" s="91"/>
      <c r="ER152" s="91"/>
      <c r="ES152" s="91"/>
      <c r="ET152" s="91"/>
      <c r="EU152" s="91"/>
      <c r="EV152" s="91"/>
      <c r="EW152" s="91"/>
      <c r="EX152" s="91"/>
      <c r="EY152" s="91"/>
      <c r="EZ152" s="91"/>
      <c r="FA152" s="91"/>
      <c r="FB152" s="91"/>
      <c r="FC152" s="91"/>
      <c r="FD152" s="91"/>
      <c r="FE152" s="91"/>
      <c r="FF152" s="91"/>
      <c r="FG152" s="91"/>
      <c r="FH152" s="91"/>
      <c r="FI152" s="91"/>
      <c r="FJ152" s="91"/>
      <c r="FK152" s="91"/>
      <c r="FL152" s="91"/>
      <c r="FM152" s="91"/>
      <c r="FN152" s="91"/>
      <c r="FO152" s="91"/>
      <c r="FP152" s="91"/>
      <c r="FQ152" s="91"/>
      <c r="FR152" s="91"/>
      <c r="FS152" s="91"/>
      <c r="FT152" s="91"/>
      <c r="FU152" s="91"/>
      <c r="FV152" s="91"/>
      <c r="FW152" s="91"/>
      <c r="FX152" s="91"/>
      <c r="FY152" s="91"/>
      <c r="FZ152" s="91"/>
      <c r="GA152" s="91"/>
      <c r="GB152" s="91"/>
      <c r="GC152" s="91"/>
      <c r="GD152" s="91"/>
      <c r="GE152" s="91"/>
      <c r="GF152" s="91"/>
      <c r="GG152" s="91"/>
      <c r="GH152" s="91"/>
      <c r="GI152" s="91"/>
      <c r="GJ152" s="91"/>
      <c r="GK152" s="91"/>
      <c r="GL152" s="91"/>
      <c r="GM152" s="91"/>
      <c r="GN152" s="91"/>
      <c r="GO152" s="91"/>
      <c r="GP152" s="91"/>
      <c r="GQ152" s="91"/>
      <c r="GR152" s="91"/>
      <c r="GS152" s="91"/>
      <c r="GT152" s="91"/>
      <c r="GU152" s="91"/>
      <c r="GV152" s="91"/>
      <c r="GW152" s="91"/>
      <c r="GX152" s="91"/>
      <c r="GY152" s="91"/>
      <c r="GZ152" s="91"/>
      <c r="HA152" s="91"/>
      <c r="HB152" s="91"/>
      <c r="HC152" s="91"/>
      <c r="HD152" s="91"/>
      <c r="HE152" s="91"/>
      <c r="HF152" s="91"/>
      <c r="HG152" s="91"/>
      <c r="HH152" s="91"/>
      <c r="HI152" s="91"/>
      <c r="HJ152" s="91"/>
      <c r="HK152" s="91"/>
      <c r="HL152" s="91"/>
      <c r="HM152" s="91"/>
      <c r="HN152" s="91"/>
      <c r="HO152" s="91"/>
      <c r="HP152" s="91"/>
      <c r="HQ152" s="91"/>
      <c r="HR152" s="91"/>
      <c r="HS152" s="91"/>
      <c r="HT152" s="91"/>
      <c r="HU152" s="91"/>
      <c r="HV152" s="91"/>
      <c r="HW152" s="91"/>
      <c r="HX152" s="91"/>
      <c r="HY152" s="91"/>
      <c r="HZ152" s="91"/>
      <c r="IA152" s="91"/>
      <c r="IB152" s="91"/>
      <c r="IC152" s="91"/>
      <c r="ID152" s="91"/>
      <c r="IE152" s="91"/>
      <c r="IF152" s="91"/>
      <c r="IG152" s="91"/>
      <c r="IH152" s="91"/>
      <c r="II152" s="91"/>
      <c r="IJ152" s="91"/>
      <c r="IK152" s="91"/>
      <c r="IL152" s="91"/>
      <c r="IM152" s="91"/>
      <c r="IN152" s="91"/>
      <c r="IO152" s="91"/>
      <c r="IP152" s="91"/>
      <c r="IQ152" s="91"/>
      <c r="IR152" s="91"/>
      <c r="IS152" s="91"/>
      <c r="IT152" s="91"/>
      <c r="IU152" s="91"/>
      <c r="IV152" s="91"/>
    </row>
    <row r="153" s="92" customFormat="1" ht="20.1" customHeight="1" spans="1:256">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91"/>
      <c r="BE153" s="91"/>
      <c r="BF153" s="91"/>
      <c r="BG153" s="91"/>
      <c r="BH153" s="91"/>
      <c r="BI153" s="91"/>
      <c r="BJ153" s="91"/>
      <c r="BK153" s="91"/>
      <c r="BL153" s="91"/>
      <c r="BM153" s="91"/>
      <c r="BN153" s="91"/>
      <c r="BO153" s="91"/>
      <c r="BP153" s="91"/>
      <c r="BQ153" s="91"/>
      <c r="BR153" s="91"/>
      <c r="BS153" s="91"/>
      <c r="BT153" s="91"/>
      <c r="BU153" s="91"/>
      <c r="BV153" s="91"/>
      <c r="BW153" s="91"/>
      <c r="BX153" s="91"/>
      <c r="BY153" s="91"/>
      <c r="BZ153" s="91"/>
      <c r="CA153" s="91"/>
      <c r="CB153" s="91"/>
      <c r="CC153" s="91"/>
      <c r="CD153" s="91"/>
      <c r="CE153" s="91"/>
      <c r="CF153" s="91"/>
      <c r="CG153" s="91"/>
      <c r="CH153" s="91"/>
      <c r="CI153" s="91"/>
      <c r="CJ153" s="91"/>
      <c r="CK153" s="91"/>
      <c r="CL153" s="91"/>
      <c r="CM153" s="91"/>
      <c r="CN153" s="91"/>
      <c r="CO153" s="91"/>
      <c r="CP153" s="91"/>
      <c r="CQ153" s="91"/>
      <c r="CR153" s="91"/>
      <c r="CS153" s="91"/>
      <c r="CT153" s="91"/>
      <c r="CU153" s="91"/>
      <c r="CV153" s="91"/>
      <c r="CW153" s="91"/>
      <c r="CX153" s="91"/>
      <c r="CY153" s="91"/>
      <c r="CZ153" s="91"/>
      <c r="DA153" s="91"/>
      <c r="DB153" s="91"/>
      <c r="DC153" s="91"/>
      <c r="DD153" s="91"/>
      <c r="DE153" s="91"/>
      <c r="DF153" s="91"/>
      <c r="DG153" s="91"/>
      <c r="DH153" s="91"/>
      <c r="DI153" s="91"/>
      <c r="DJ153" s="91"/>
      <c r="DK153" s="91"/>
      <c r="DL153" s="91"/>
      <c r="DM153" s="91"/>
      <c r="DN153" s="91"/>
      <c r="DO153" s="91"/>
      <c r="DP153" s="91"/>
      <c r="DQ153" s="91"/>
      <c r="DR153" s="91"/>
      <c r="DS153" s="91"/>
      <c r="DT153" s="91"/>
      <c r="DU153" s="91"/>
      <c r="DV153" s="91"/>
      <c r="DW153" s="91"/>
      <c r="DX153" s="91"/>
      <c r="DY153" s="91"/>
      <c r="DZ153" s="91"/>
      <c r="EA153" s="91"/>
      <c r="EB153" s="91"/>
      <c r="EC153" s="91"/>
      <c r="ED153" s="91"/>
      <c r="EE153" s="91"/>
      <c r="EF153" s="91"/>
      <c r="EG153" s="91"/>
      <c r="EH153" s="91"/>
      <c r="EI153" s="91"/>
      <c r="EJ153" s="91"/>
      <c r="EK153" s="91"/>
      <c r="EL153" s="91"/>
      <c r="EM153" s="91"/>
      <c r="EN153" s="91"/>
      <c r="EO153" s="91"/>
      <c r="EP153" s="91"/>
      <c r="EQ153" s="91"/>
      <c r="ER153" s="91"/>
      <c r="ES153" s="91"/>
      <c r="ET153" s="91"/>
      <c r="EU153" s="91"/>
      <c r="EV153" s="91"/>
      <c r="EW153" s="91"/>
      <c r="EX153" s="91"/>
      <c r="EY153" s="91"/>
      <c r="EZ153" s="91"/>
      <c r="FA153" s="91"/>
      <c r="FB153" s="91"/>
      <c r="FC153" s="91"/>
      <c r="FD153" s="91"/>
      <c r="FE153" s="91"/>
      <c r="FF153" s="91"/>
      <c r="FG153" s="91"/>
      <c r="FH153" s="91"/>
      <c r="FI153" s="91"/>
      <c r="FJ153" s="91"/>
      <c r="FK153" s="91"/>
      <c r="FL153" s="91"/>
      <c r="FM153" s="91"/>
      <c r="FN153" s="91"/>
      <c r="FO153" s="91"/>
      <c r="FP153" s="91"/>
      <c r="FQ153" s="91"/>
      <c r="FR153" s="91"/>
      <c r="FS153" s="91"/>
      <c r="FT153" s="91"/>
      <c r="FU153" s="91"/>
      <c r="FV153" s="91"/>
      <c r="FW153" s="91"/>
      <c r="FX153" s="91"/>
      <c r="FY153" s="91"/>
      <c r="FZ153" s="91"/>
      <c r="GA153" s="91"/>
      <c r="GB153" s="91"/>
      <c r="GC153" s="91"/>
      <c r="GD153" s="91"/>
      <c r="GE153" s="91"/>
      <c r="GF153" s="91"/>
      <c r="GG153" s="91"/>
      <c r="GH153" s="91"/>
      <c r="GI153" s="91"/>
      <c r="GJ153" s="91"/>
      <c r="GK153" s="91"/>
      <c r="GL153" s="91"/>
      <c r="GM153" s="91"/>
      <c r="GN153" s="91"/>
      <c r="GO153" s="91"/>
      <c r="GP153" s="91"/>
      <c r="GQ153" s="91"/>
      <c r="GR153" s="91"/>
      <c r="GS153" s="91"/>
      <c r="GT153" s="91"/>
      <c r="GU153" s="91"/>
      <c r="GV153" s="91"/>
      <c r="GW153" s="91"/>
      <c r="GX153" s="91"/>
      <c r="GY153" s="91"/>
      <c r="GZ153" s="91"/>
      <c r="HA153" s="91"/>
      <c r="HB153" s="91"/>
      <c r="HC153" s="91"/>
      <c r="HD153" s="91"/>
      <c r="HE153" s="91"/>
      <c r="HF153" s="91"/>
      <c r="HG153" s="91"/>
      <c r="HH153" s="91"/>
      <c r="HI153" s="91"/>
      <c r="HJ153" s="91"/>
      <c r="HK153" s="91"/>
      <c r="HL153" s="91"/>
      <c r="HM153" s="91"/>
      <c r="HN153" s="91"/>
      <c r="HO153" s="91"/>
      <c r="HP153" s="91"/>
      <c r="HQ153" s="91"/>
      <c r="HR153" s="91"/>
      <c r="HS153" s="91"/>
      <c r="HT153" s="91"/>
      <c r="HU153" s="91"/>
      <c r="HV153" s="91"/>
      <c r="HW153" s="91"/>
      <c r="HX153" s="91"/>
      <c r="HY153" s="91"/>
      <c r="HZ153" s="91"/>
      <c r="IA153" s="91"/>
      <c r="IB153" s="91"/>
      <c r="IC153" s="91"/>
      <c r="ID153" s="91"/>
      <c r="IE153" s="91"/>
      <c r="IF153" s="91"/>
      <c r="IG153" s="91"/>
      <c r="IH153" s="91"/>
      <c r="II153" s="91"/>
      <c r="IJ153" s="91"/>
      <c r="IK153" s="91"/>
      <c r="IL153" s="91"/>
      <c r="IM153" s="91"/>
      <c r="IN153" s="91"/>
      <c r="IO153" s="91"/>
      <c r="IP153" s="91"/>
      <c r="IQ153" s="91"/>
      <c r="IR153" s="91"/>
      <c r="IS153" s="91"/>
      <c r="IT153" s="91"/>
      <c r="IU153" s="91"/>
      <c r="IV153" s="91"/>
    </row>
    <row r="154" s="92" customFormat="1" ht="20.1" customHeight="1" spans="1:256">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c r="BE154" s="91"/>
      <c r="BF154" s="91"/>
      <c r="BG154" s="91"/>
      <c r="BH154" s="91"/>
      <c r="BI154" s="91"/>
      <c r="BJ154" s="91"/>
      <c r="BK154" s="91"/>
      <c r="BL154" s="91"/>
      <c r="BM154" s="91"/>
      <c r="BN154" s="91"/>
      <c r="BO154" s="91"/>
      <c r="BP154" s="91"/>
      <c r="BQ154" s="91"/>
      <c r="BR154" s="91"/>
      <c r="BS154" s="91"/>
      <c r="BT154" s="91"/>
      <c r="BU154" s="91"/>
      <c r="BV154" s="91"/>
      <c r="BW154" s="91"/>
      <c r="BX154" s="91"/>
      <c r="BY154" s="91"/>
      <c r="BZ154" s="91"/>
      <c r="CA154" s="91"/>
      <c r="CB154" s="91"/>
      <c r="CC154" s="91"/>
      <c r="CD154" s="91"/>
      <c r="CE154" s="91"/>
      <c r="CF154" s="91"/>
      <c r="CG154" s="91"/>
      <c r="CH154" s="91"/>
      <c r="CI154" s="91"/>
      <c r="CJ154" s="91"/>
      <c r="CK154" s="91"/>
      <c r="CL154" s="91"/>
      <c r="CM154" s="91"/>
      <c r="CN154" s="91"/>
      <c r="CO154" s="91"/>
      <c r="CP154" s="91"/>
      <c r="CQ154" s="91"/>
      <c r="CR154" s="91"/>
      <c r="CS154" s="91"/>
      <c r="CT154" s="91"/>
      <c r="CU154" s="91"/>
      <c r="CV154" s="91"/>
      <c r="CW154" s="91"/>
      <c r="CX154" s="91"/>
      <c r="CY154" s="91"/>
      <c r="CZ154" s="91"/>
      <c r="DA154" s="91"/>
      <c r="DB154" s="91"/>
      <c r="DC154" s="91"/>
      <c r="DD154" s="91"/>
      <c r="DE154" s="91"/>
      <c r="DF154" s="91"/>
      <c r="DG154" s="91"/>
      <c r="DH154" s="91"/>
      <c r="DI154" s="91"/>
      <c r="DJ154" s="91"/>
      <c r="DK154" s="91"/>
      <c r="DL154" s="91"/>
      <c r="DM154" s="91"/>
      <c r="DN154" s="91"/>
      <c r="DO154" s="91"/>
      <c r="DP154" s="91"/>
      <c r="DQ154" s="91"/>
      <c r="DR154" s="91"/>
      <c r="DS154" s="91"/>
      <c r="DT154" s="91"/>
      <c r="DU154" s="91"/>
      <c r="DV154" s="91"/>
      <c r="DW154" s="91"/>
      <c r="DX154" s="91"/>
      <c r="DY154" s="91"/>
      <c r="DZ154" s="91"/>
      <c r="EA154" s="91"/>
      <c r="EB154" s="91"/>
      <c r="EC154" s="91"/>
      <c r="ED154" s="91"/>
      <c r="EE154" s="91"/>
      <c r="EF154" s="91"/>
      <c r="EG154" s="91"/>
      <c r="EH154" s="91"/>
      <c r="EI154" s="91"/>
      <c r="EJ154" s="91"/>
      <c r="EK154" s="91"/>
      <c r="EL154" s="91"/>
      <c r="EM154" s="91"/>
      <c r="EN154" s="91"/>
      <c r="EO154" s="91"/>
      <c r="EP154" s="91"/>
      <c r="EQ154" s="91"/>
      <c r="ER154" s="91"/>
      <c r="ES154" s="91"/>
      <c r="ET154" s="91"/>
      <c r="EU154" s="91"/>
      <c r="EV154" s="91"/>
      <c r="EW154" s="91"/>
      <c r="EX154" s="91"/>
      <c r="EY154" s="91"/>
      <c r="EZ154" s="91"/>
      <c r="FA154" s="91"/>
      <c r="FB154" s="91"/>
      <c r="FC154" s="91"/>
      <c r="FD154" s="91"/>
      <c r="FE154" s="91"/>
      <c r="FF154" s="91"/>
      <c r="FG154" s="91"/>
      <c r="FH154" s="91"/>
      <c r="FI154" s="91"/>
      <c r="FJ154" s="91"/>
      <c r="FK154" s="91"/>
      <c r="FL154" s="91"/>
      <c r="FM154" s="91"/>
      <c r="FN154" s="91"/>
      <c r="FO154" s="91"/>
      <c r="FP154" s="91"/>
      <c r="FQ154" s="91"/>
      <c r="FR154" s="91"/>
      <c r="FS154" s="91"/>
      <c r="FT154" s="91"/>
      <c r="FU154" s="91"/>
      <c r="FV154" s="91"/>
      <c r="FW154" s="91"/>
      <c r="FX154" s="91"/>
      <c r="FY154" s="91"/>
      <c r="FZ154" s="91"/>
      <c r="GA154" s="91"/>
      <c r="GB154" s="91"/>
      <c r="GC154" s="91"/>
      <c r="GD154" s="91"/>
      <c r="GE154" s="91"/>
      <c r="GF154" s="91"/>
      <c r="GG154" s="91"/>
      <c r="GH154" s="91"/>
      <c r="GI154" s="91"/>
      <c r="GJ154" s="91"/>
      <c r="GK154" s="91"/>
      <c r="GL154" s="91"/>
      <c r="GM154" s="91"/>
      <c r="GN154" s="91"/>
      <c r="GO154" s="91"/>
      <c r="GP154" s="91"/>
      <c r="GQ154" s="91"/>
      <c r="GR154" s="91"/>
      <c r="GS154" s="91"/>
      <c r="GT154" s="91"/>
      <c r="GU154" s="91"/>
      <c r="GV154" s="91"/>
      <c r="GW154" s="91"/>
      <c r="GX154" s="91"/>
      <c r="GY154" s="91"/>
      <c r="GZ154" s="91"/>
      <c r="HA154" s="91"/>
      <c r="HB154" s="91"/>
      <c r="HC154" s="91"/>
      <c r="HD154" s="91"/>
      <c r="HE154" s="91"/>
      <c r="HF154" s="91"/>
      <c r="HG154" s="91"/>
      <c r="HH154" s="91"/>
      <c r="HI154" s="91"/>
      <c r="HJ154" s="91"/>
      <c r="HK154" s="91"/>
      <c r="HL154" s="91"/>
      <c r="HM154" s="91"/>
      <c r="HN154" s="91"/>
      <c r="HO154" s="91"/>
      <c r="HP154" s="91"/>
      <c r="HQ154" s="91"/>
      <c r="HR154" s="91"/>
      <c r="HS154" s="91"/>
      <c r="HT154" s="91"/>
      <c r="HU154" s="91"/>
      <c r="HV154" s="91"/>
      <c r="HW154" s="91"/>
      <c r="HX154" s="91"/>
      <c r="HY154" s="91"/>
      <c r="HZ154" s="91"/>
      <c r="IA154" s="91"/>
      <c r="IB154" s="91"/>
      <c r="IC154" s="91"/>
      <c r="ID154" s="91"/>
      <c r="IE154" s="91"/>
      <c r="IF154" s="91"/>
      <c r="IG154" s="91"/>
      <c r="IH154" s="91"/>
      <c r="II154" s="91"/>
      <c r="IJ154" s="91"/>
      <c r="IK154" s="91"/>
      <c r="IL154" s="91"/>
      <c r="IM154" s="91"/>
      <c r="IN154" s="91"/>
      <c r="IO154" s="91"/>
      <c r="IP154" s="91"/>
      <c r="IQ154" s="91"/>
      <c r="IR154" s="91"/>
      <c r="IS154" s="91"/>
      <c r="IT154" s="91"/>
      <c r="IU154" s="91"/>
      <c r="IV154" s="91"/>
    </row>
    <row r="155" s="92" customFormat="1" ht="20.1" customHeight="1" spans="1:256">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91"/>
      <c r="BH155" s="91"/>
      <c r="BI155" s="91"/>
      <c r="BJ155" s="91"/>
      <c r="BK155" s="91"/>
      <c r="BL155" s="91"/>
      <c r="BM155" s="91"/>
      <c r="BN155" s="91"/>
      <c r="BO155" s="91"/>
      <c r="BP155" s="91"/>
      <c r="BQ155" s="91"/>
      <c r="BR155" s="91"/>
      <c r="BS155" s="91"/>
      <c r="BT155" s="91"/>
      <c r="BU155" s="91"/>
      <c r="BV155" s="91"/>
      <c r="BW155" s="91"/>
      <c r="BX155" s="91"/>
      <c r="BY155" s="91"/>
      <c r="BZ155" s="91"/>
      <c r="CA155" s="91"/>
      <c r="CB155" s="91"/>
      <c r="CC155" s="91"/>
      <c r="CD155" s="91"/>
      <c r="CE155" s="91"/>
      <c r="CF155" s="91"/>
      <c r="CG155" s="91"/>
      <c r="CH155" s="91"/>
      <c r="CI155" s="91"/>
      <c r="CJ155" s="91"/>
      <c r="CK155" s="91"/>
      <c r="CL155" s="91"/>
      <c r="CM155" s="91"/>
      <c r="CN155" s="91"/>
      <c r="CO155" s="91"/>
      <c r="CP155" s="91"/>
      <c r="CQ155" s="91"/>
      <c r="CR155" s="91"/>
      <c r="CS155" s="91"/>
      <c r="CT155" s="91"/>
      <c r="CU155" s="91"/>
      <c r="CV155" s="91"/>
      <c r="CW155" s="91"/>
      <c r="CX155" s="91"/>
      <c r="CY155" s="91"/>
      <c r="CZ155" s="91"/>
      <c r="DA155" s="91"/>
      <c r="DB155" s="91"/>
      <c r="DC155" s="91"/>
      <c r="DD155" s="91"/>
      <c r="DE155" s="91"/>
      <c r="DF155" s="91"/>
      <c r="DG155" s="91"/>
      <c r="DH155" s="91"/>
      <c r="DI155" s="91"/>
      <c r="DJ155" s="91"/>
      <c r="DK155" s="91"/>
      <c r="DL155" s="91"/>
      <c r="DM155" s="91"/>
      <c r="DN155" s="91"/>
      <c r="DO155" s="91"/>
      <c r="DP155" s="91"/>
      <c r="DQ155" s="91"/>
      <c r="DR155" s="91"/>
      <c r="DS155" s="91"/>
      <c r="DT155" s="91"/>
      <c r="DU155" s="91"/>
      <c r="DV155" s="91"/>
      <c r="DW155" s="91"/>
      <c r="DX155" s="91"/>
      <c r="DY155" s="91"/>
      <c r="DZ155" s="91"/>
      <c r="EA155" s="91"/>
      <c r="EB155" s="91"/>
      <c r="EC155" s="91"/>
      <c r="ED155" s="91"/>
      <c r="EE155" s="91"/>
      <c r="EF155" s="91"/>
      <c r="EG155" s="91"/>
      <c r="EH155" s="91"/>
      <c r="EI155" s="91"/>
      <c r="EJ155" s="91"/>
      <c r="EK155" s="91"/>
      <c r="EL155" s="91"/>
      <c r="EM155" s="91"/>
      <c r="EN155" s="91"/>
      <c r="EO155" s="91"/>
      <c r="EP155" s="91"/>
      <c r="EQ155" s="91"/>
      <c r="ER155" s="91"/>
      <c r="ES155" s="91"/>
      <c r="ET155" s="91"/>
      <c r="EU155" s="91"/>
      <c r="EV155" s="91"/>
      <c r="EW155" s="91"/>
      <c r="EX155" s="91"/>
      <c r="EY155" s="91"/>
      <c r="EZ155" s="91"/>
      <c r="FA155" s="91"/>
      <c r="FB155" s="91"/>
      <c r="FC155" s="91"/>
      <c r="FD155" s="91"/>
      <c r="FE155" s="91"/>
      <c r="FF155" s="91"/>
      <c r="FG155" s="91"/>
      <c r="FH155" s="91"/>
      <c r="FI155" s="91"/>
      <c r="FJ155" s="91"/>
      <c r="FK155" s="91"/>
      <c r="FL155" s="91"/>
      <c r="FM155" s="91"/>
      <c r="FN155" s="91"/>
      <c r="FO155" s="91"/>
      <c r="FP155" s="91"/>
      <c r="FQ155" s="91"/>
      <c r="FR155" s="91"/>
      <c r="FS155" s="91"/>
      <c r="FT155" s="91"/>
      <c r="FU155" s="91"/>
      <c r="FV155" s="91"/>
      <c r="FW155" s="91"/>
      <c r="FX155" s="91"/>
      <c r="FY155" s="91"/>
      <c r="FZ155" s="91"/>
      <c r="GA155" s="91"/>
      <c r="GB155" s="91"/>
      <c r="GC155" s="91"/>
      <c r="GD155" s="91"/>
      <c r="GE155" s="91"/>
      <c r="GF155" s="91"/>
      <c r="GG155" s="91"/>
      <c r="GH155" s="91"/>
      <c r="GI155" s="91"/>
      <c r="GJ155" s="91"/>
      <c r="GK155" s="91"/>
      <c r="GL155" s="91"/>
      <c r="GM155" s="91"/>
      <c r="GN155" s="91"/>
      <c r="GO155" s="91"/>
      <c r="GP155" s="91"/>
      <c r="GQ155" s="91"/>
      <c r="GR155" s="91"/>
      <c r="GS155" s="91"/>
      <c r="GT155" s="91"/>
      <c r="GU155" s="91"/>
      <c r="GV155" s="91"/>
      <c r="GW155" s="91"/>
      <c r="GX155" s="91"/>
      <c r="GY155" s="91"/>
      <c r="GZ155" s="91"/>
      <c r="HA155" s="91"/>
      <c r="HB155" s="91"/>
      <c r="HC155" s="91"/>
      <c r="HD155" s="91"/>
      <c r="HE155" s="91"/>
      <c r="HF155" s="91"/>
      <c r="HG155" s="91"/>
      <c r="HH155" s="91"/>
      <c r="HI155" s="91"/>
      <c r="HJ155" s="91"/>
      <c r="HK155" s="91"/>
      <c r="HL155" s="91"/>
      <c r="HM155" s="91"/>
      <c r="HN155" s="91"/>
      <c r="HO155" s="91"/>
      <c r="HP155" s="91"/>
      <c r="HQ155" s="91"/>
      <c r="HR155" s="91"/>
      <c r="HS155" s="91"/>
      <c r="HT155" s="91"/>
      <c r="HU155" s="91"/>
      <c r="HV155" s="91"/>
      <c r="HW155" s="91"/>
      <c r="HX155" s="91"/>
      <c r="HY155" s="91"/>
      <c r="HZ155" s="91"/>
      <c r="IA155" s="91"/>
      <c r="IB155" s="91"/>
      <c r="IC155" s="91"/>
      <c r="ID155" s="91"/>
      <c r="IE155" s="91"/>
      <c r="IF155" s="91"/>
      <c r="IG155" s="91"/>
      <c r="IH155" s="91"/>
      <c r="II155" s="91"/>
      <c r="IJ155" s="91"/>
      <c r="IK155" s="91"/>
      <c r="IL155" s="91"/>
      <c r="IM155" s="91"/>
      <c r="IN155" s="91"/>
      <c r="IO155" s="91"/>
      <c r="IP155" s="91"/>
      <c r="IQ155" s="91"/>
      <c r="IR155" s="91"/>
      <c r="IS155" s="91"/>
      <c r="IT155" s="91"/>
      <c r="IU155" s="91"/>
      <c r="IV155" s="91"/>
    </row>
    <row r="156" s="92" customFormat="1" ht="20.1" customHeight="1" spans="1:256">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91"/>
      <c r="BH156" s="91"/>
      <c r="BI156" s="91"/>
      <c r="BJ156" s="91"/>
      <c r="BK156" s="91"/>
      <c r="BL156" s="91"/>
      <c r="BM156" s="91"/>
      <c r="BN156" s="91"/>
      <c r="BO156" s="91"/>
      <c r="BP156" s="91"/>
      <c r="BQ156" s="91"/>
      <c r="BR156" s="91"/>
      <c r="BS156" s="91"/>
      <c r="BT156" s="91"/>
      <c r="BU156" s="91"/>
      <c r="BV156" s="91"/>
      <c r="BW156" s="91"/>
      <c r="BX156" s="91"/>
      <c r="BY156" s="91"/>
      <c r="BZ156" s="91"/>
      <c r="CA156" s="91"/>
      <c r="CB156" s="91"/>
      <c r="CC156" s="91"/>
      <c r="CD156" s="91"/>
      <c r="CE156" s="91"/>
      <c r="CF156" s="91"/>
      <c r="CG156" s="91"/>
      <c r="CH156" s="91"/>
      <c r="CI156" s="91"/>
      <c r="CJ156" s="91"/>
      <c r="CK156" s="91"/>
      <c r="CL156" s="91"/>
      <c r="CM156" s="91"/>
      <c r="CN156" s="91"/>
      <c r="CO156" s="91"/>
      <c r="CP156" s="91"/>
      <c r="CQ156" s="91"/>
      <c r="CR156" s="91"/>
      <c r="CS156" s="91"/>
      <c r="CT156" s="91"/>
      <c r="CU156" s="91"/>
      <c r="CV156" s="91"/>
      <c r="CW156" s="91"/>
      <c r="CX156" s="91"/>
      <c r="CY156" s="91"/>
      <c r="CZ156" s="91"/>
      <c r="DA156" s="91"/>
      <c r="DB156" s="91"/>
      <c r="DC156" s="91"/>
      <c r="DD156" s="91"/>
      <c r="DE156" s="91"/>
      <c r="DF156" s="91"/>
      <c r="DG156" s="91"/>
      <c r="DH156" s="91"/>
      <c r="DI156" s="91"/>
      <c r="DJ156" s="91"/>
      <c r="DK156" s="91"/>
      <c r="DL156" s="91"/>
      <c r="DM156" s="91"/>
      <c r="DN156" s="91"/>
      <c r="DO156" s="91"/>
      <c r="DP156" s="91"/>
      <c r="DQ156" s="91"/>
      <c r="DR156" s="91"/>
      <c r="DS156" s="91"/>
      <c r="DT156" s="91"/>
      <c r="DU156" s="91"/>
      <c r="DV156" s="91"/>
      <c r="DW156" s="91"/>
      <c r="DX156" s="91"/>
      <c r="DY156" s="91"/>
      <c r="DZ156" s="91"/>
      <c r="EA156" s="91"/>
      <c r="EB156" s="91"/>
      <c r="EC156" s="91"/>
      <c r="ED156" s="91"/>
      <c r="EE156" s="91"/>
      <c r="EF156" s="91"/>
      <c r="EG156" s="91"/>
      <c r="EH156" s="91"/>
      <c r="EI156" s="91"/>
      <c r="EJ156" s="91"/>
      <c r="EK156" s="91"/>
      <c r="EL156" s="91"/>
      <c r="EM156" s="91"/>
      <c r="EN156" s="91"/>
      <c r="EO156" s="91"/>
      <c r="EP156" s="91"/>
      <c r="EQ156" s="91"/>
      <c r="ER156" s="91"/>
      <c r="ES156" s="91"/>
      <c r="ET156" s="91"/>
      <c r="EU156" s="91"/>
      <c r="EV156" s="91"/>
      <c r="EW156" s="91"/>
      <c r="EX156" s="91"/>
      <c r="EY156" s="91"/>
      <c r="EZ156" s="91"/>
      <c r="FA156" s="91"/>
      <c r="FB156" s="91"/>
      <c r="FC156" s="91"/>
      <c r="FD156" s="91"/>
      <c r="FE156" s="91"/>
      <c r="FF156" s="91"/>
      <c r="FG156" s="91"/>
      <c r="FH156" s="91"/>
      <c r="FI156" s="91"/>
      <c r="FJ156" s="91"/>
      <c r="FK156" s="91"/>
      <c r="FL156" s="91"/>
      <c r="FM156" s="91"/>
      <c r="FN156" s="91"/>
      <c r="FO156" s="91"/>
      <c r="FP156" s="91"/>
      <c r="FQ156" s="91"/>
      <c r="FR156" s="91"/>
      <c r="FS156" s="91"/>
      <c r="FT156" s="91"/>
      <c r="FU156" s="91"/>
      <c r="FV156" s="91"/>
      <c r="FW156" s="91"/>
      <c r="FX156" s="91"/>
      <c r="FY156" s="91"/>
      <c r="FZ156" s="91"/>
      <c r="GA156" s="91"/>
      <c r="GB156" s="91"/>
      <c r="GC156" s="91"/>
      <c r="GD156" s="91"/>
      <c r="GE156" s="91"/>
      <c r="GF156" s="91"/>
      <c r="GG156" s="91"/>
      <c r="GH156" s="91"/>
      <c r="GI156" s="91"/>
      <c r="GJ156" s="91"/>
      <c r="GK156" s="91"/>
      <c r="GL156" s="91"/>
      <c r="GM156" s="91"/>
      <c r="GN156" s="91"/>
      <c r="GO156" s="91"/>
      <c r="GP156" s="91"/>
      <c r="GQ156" s="91"/>
      <c r="GR156" s="91"/>
      <c r="GS156" s="91"/>
      <c r="GT156" s="91"/>
      <c r="GU156" s="91"/>
      <c r="GV156" s="91"/>
      <c r="GW156" s="91"/>
      <c r="GX156" s="91"/>
      <c r="GY156" s="91"/>
      <c r="GZ156" s="91"/>
      <c r="HA156" s="91"/>
      <c r="HB156" s="91"/>
      <c r="HC156" s="91"/>
      <c r="HD156" s="91"/>
      <c r="HE156" s="91"/>
      <c r="HF156" s="91"/>
      <c r="HG156" s="91"/>
      <c r="HH156" s="91"/>
      <c r="HI156" s="91"/>
      <c r="HJ156" s="91"/>
      <c r="HK156" s="91"/>
      <c r="HL156" s="91"/>
      <c r="HM156" s="91"/>
      <c r="HN156" s="91"/>
      <c r="HO156" s="91"/>
      <c r="HP156" s="91"/>
      <c r="HQ156" s="91"/>
      <c r="HR156" s="91"/>
      <c r="HS156" s="91"/>
      <c r="HT156" s="91"/>
      <c r="HU156" s="91"/>
      <c r="HV156" s="91"/>
      <c r="HW156" s="91"/>
      <c r="HX156" s="91"/>
      <c r="HY156" s="91"/>
      <c r="HZ156" s="91"/>
      <c r="IA156" s="91"/>
      <c r="IB156" s="91"/>
      <c r="IC156" s="91"/>
      <c r="ID156" s="91"/>
      <c r="IE156" s="91"/>
      <c r="IF156" s="91"/>
      <c r="IG156" s="91"/>
      <c r="IH156" s="91"/>
      <c r="II156" s="91"/>
      <c r="IJ156" s="91"/>
      <c r="IK156" s="91"/>
      <c r="IL156" s="91"/>
      <c r="IM156" s="91"/>
      <c r="IN156" s="91"/>
      <c r="IO156" s="91"/>
      <c r="IP156" s="91"/>
      <c r="IQ156" s="91"/>
      <c r="IR156" s="91"/>
      <c r="IS156" s="91"/>
      <c r="IT156" s="91"/>
      <c r="IU156" s="91"/>
      <c r="IV156" s="91"/>
    </row>
    <row r="157" s="92" customFormat="1" ht="20.1" customHeight="1" spans="1:256">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1"/>
      <c r="BH157" s="91"/>
      <c r="BI157" s="91"/>
      <c r="BJ157" s="91"/>
      <c r="BK157" s="91"/>
      <c r="BL157" s="91"/>
      <c r="BM157" s="91"/>
      <c r="BN157" s="91"/>
      <c r="BO157" s="91"/>
      <c r="BP157" s="91"/>
      <c r="BQ157" s="91"/>
      <c r="BR157" s="91"/>
      <c r="BS157" s="91"/>
      <c r="BT157" s="91"/>
      <c r="BU157" s="91"/>
      <c r="BV157" s="91"/>
      <c r="BW157" s="91"/>
      <c r="BX157" s="91"/>
      <c r="BY157" s="91"/>
      <c r="BZ157" s="91"/>
      <c r="CA157" s="91"/>
      <c r="CB157" s="91"/>
      <c r="CC157" s="91"/>
      <c r="CD157" s="91"/>
      <c r="CE157" s="91"/>
      <c r="CF157" s="91"/>
      <c r="CG157" s="91"/>
      <c r="CH157" s="91"/>
      <c r="CI157" s="91"/>
      <c r="CJ157" s="91"/>
      <c r="CK157" s="91"/>
      <c r="CL157" s="91"/>
      <c r="CM157" s="91"/>
      <c r="CN157" s="91"/>
      <c r="CO157" s="91"/>
      <c r="CP157" s="91"/>
      <c r="CQ157" s="91"/>
      <c r="CR157" s="91"/>
      <c r="CS157" s="91"/>
      <c r="CT157" s="91"/>
      <c r="CU157" s="91"/>
      <c r="CV157" s="91"/>
      <c r="CW157" s="91"/>
      <c r="CX157" s="91"/>
      <c r="CY157" s="91"/>
      <c r="CZ157" s="91"/>
      <c r="DA157" s="91"/>
      <c r="DB157" s="91"/>
      <c r="DC157" s="91"/>
      <c r="DD157" s="91"/>
      <c r="DE157" s="91"/>
      <c r="DF157" s="91"/>
      <c r="DG157" s="91"/>
      <c r="DH157" s="91"/>
      <c r="DI157" s="91"/>
      <c r="DJ157" s="91"/>
      <c r="DK157" s="91"/>
      <c r="DL157" s="91"/>
      <c r="DM157" s="91"/>
      <c r="DN157" s="91"/>
      <c r="DO157" s="91"/>
      <c r="DP157" s="91"/>
      <c r="DQ157" s="91"/>
      <c r="DR157" s="91"/>
      <c r="DS157" s="91"/>
      <c r="DT157" s="91"/>
      <c r="DU157" s="91"/>
      <c r="DV157" s="91"/>
      <c r="DW157" s="91"/>
      <c r="DX157" s="91"/>
      <c r="DY157" s="91"/>
      <c r="DZ157" s="91"/>
      <c r="EA157" s="91"/>
      <c r="EB157" s="91"/>
      <c r="EC157" s="91"/>
      <c r="ED157" s="91"/>
      <c r="EE157" s="91"/>
      <c r="EF157" s="91"/>
      <c r="EG157" s="91"/>
      <c r="EH157" s="91"/>
      <c r="EI157" s="91"/>
      <c r="EJ157" s="91"/>
      <c r="EK157" s="91"/>
      <c r="EL157" s="91"/>
      <c r="EM157" s="91"/>
      <c r="EN157" s="91"/>
      <c r="EO157" s="91"/>
      <c r="EP157" s="91"/>
      <c r="EQ157" s="91"/>
      <c r="ER157" s="91"/>
      <c r="ES157" s="91"/>
      <c r="ET157" s="91"/>
      <c r="EU157" s="91"/>
      <c r="EV157" s="91"/>
      <c r="EW157" s="91"/>
      <c r="EX157" s="91"/>
      <c r="EY157" s="91"/>
      <c r="EZ157" s="91"/>
      <c r="FA157" s="91"/>
      <c r="FB157" s="91"/>
      <c r="FC157" s="91"/>
      <c r="FD157" s="91"/>
      <c r="FE157" s="91"/>
      <c r="FF157" s="91"/>
      <c r="FG157" s="91"/>
      <c r="FH157" s="91"/>
      <c r="FI157" s="91"/>
      <c r="FJ157" s="91"/>
      <c r="FK157" s="91"/>
      <c r="FL157" s="91"/>
      <c r="FM157" s="91"/>
      <c r="FN157" s="91"/>
      <c r="FO157" s="91"/>
      <c r="FP157" s="91"/>
      <c r="FQ157" s="91"/>
      <c r="FR157" s="91"/>
      <c r="FS157" s="91"/>
      <c r="FT157" s="91"/>
      <c r="FU157" s="91"/>
      <c r="FV157" s="91"/>
      <c r="FW157" s="91"/>
      <c r="FX157" s="91"/>
      <c r="FY157" s="91"/>
      <c r="FZ157" s="91"/>
      <c r="GA157" s="91"/>
      <c r="GB157" s="91"/>
      <c r="GC157" s="91"/>
      <c r="GD157" s="91"/>
      <c r="GE157" s="91"/>
      <c r="GF157" s="91"/>
      <c r="GG157" s="91"/>
      <c r="GH157" s="91"/>
      <c r="GI157" s="91"/>
      <c r="GJ157" s="91"/>
      <c r="GK157" s="91"/>
      <c r="GL157" s="91"/>
      <c r="GM157" s="91"/>
      <c r="GN157" s="91"/>
      <c r="GO157" s="91"/>
      <c r="GP157" s="91"/>
      <c r="GQ157" s="91"/>
      <c r="GR157" s="91"/>
      <c r="GS157" s="91"/>
      <c r="GT157" s="91"/>
      <c r="GU157" s="91"/>
      <c r="GV157" s="91"/>
      <c r="GW157" s="91"/>
      <c r="GX157" s="91"/>
      <c r="GY157" s="91"/>
      <c r="GZ157" s="91"/>
      <c r="HA157" s="91"/>
      <c r="HB157" s="91"/>
      <c r="HC157" s="91"/>
      <c r="HD157" s="91"/>
      <c r="HE157" s="91"/>
      <c r="HF157" s="91"/>
      <c r="HG157" s="91"/>
      <c r="HH157" s="91"/>
      <c r="HI157" s="91"/>
      <c r="HJ157" s="91"/>
      <c r="HK157" s="91"/>
      <c r="HL157" s="91"/>
      <c r="HM157" s="91"/>
      <c r="HN157" s="91"/>
      <c r="HO157" s="91"/>
      <c r="HP157" s="91"/>
      <c r="HQ157" s="91"/>
      <c r="HR157" s="91"/>
      <c r="HS157" s="91"/>
      <c r="HT157" s="91"/>
      <c r="HU157" s="91"/>
      <c r="HV157" s="91"/>
      <c r="HW157" s="91"/>
      <c r="HX157" s="91"/>
      <c r="HY157" s="91"/>
      <c r="HZ157" s="91"/>
      <c r="IA157" s="91"/>
      <c r="IB157" s="91"/>
      <c r="IC157" s="91"/>
      <c r="ID157" s="91"/>
      <c r="IE157" s="91"/>
      <c r="IF157" s="91"/>
      <c r="IG157" s="91"/>
      <c r="IH157" s="91"/>
      <c r="II157" s="91"/>
      <c r="IJ157" s="91"/>
      <c r="IK157" s="91"/>
      <c r="IL157" s="91"/>
      <c r="IM157" s="91"/>
      <c r="IN157" s="91"/>
      <c r="IO157" s="91"/>
      <c r="IP157" s="91"/>
      <c r="IQ157" s="91"/>
      <c r="IR157" s="91"/>
      <c r="IS157" s="91"/>
      <c r="IT157" s="91"/>
      <c r="IU157" s="91"/>
      <c r="IV157" s="91"/>
    </row>
    <row r="158" s="92" customFormat="1" ht="20.1" customHeight="1" spans="1:256">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91"/>
      <c r="AN158" s="91"/>
      <c r="AO158" s="91"/>
      <c r="AP158" s="91"/>
      <c r="AQ158" s="91"/>
      <c r="AR158" s="91"/>
      <c r="AS158" s="91"/>
      <c r="AT158" s="91"/>
      <c r="AU158" s="91"/>
      <c r="AV158" s="91"/>
      <c r="AW158" s="91"/>
      <c r="AX158" s="91"/>
      <c r="AY158" s="91"/>
      <c r="AZ158" s="91"/>
      <c r="BA158" s="91"/>
      <c r="BB158" s="91"/>
      <c r="BC158" s="91"/>
      <c r="BD158" s="91"/>
      <c r="BE158" s="91"/>
      <c r="BF158" s="91"/>
      <c r="BG158" s="91"/>
      <c r="BH158" s="91"/>
      <c r="BI158" s="91"/>
      <c r="BJ158" s="91"/>
      <c r="BK158" s="91"/>
      <c r="BL158" s="91"/>
      <c r="BM158" s="91"/>
      <c r="BN158" s="91"/>
      <c r="BO158" s="91"/>
      <c r="BP158" s="91"/>
      <c r="BQ158" s="91"/>
      <c r="BR158" s="91"/>
      <c r="BS158" s="91"/>
      <c r="BT158" s="91"/>
      <c r="BU158" s="91"/>
      <c r="BV158" s="91"/>
      <c r="BW158" s="91"/>
      <c r="BX158" s="91"/>
      <c r="BY158" s="91"/>
      <c r="BZ158" s="91"/>
      <c r="CA158" s="91"/>
      <c r="CB158" s="91"/>
      <c r="CC158" s="91"/>
      <c r="CD158" s="91"/>
      <c r="CE158" s="91"/>
      <c r="CF158" s="91"/>
      <c r="CG158" s="91"/>
      <c r="CH158" s="91"/>
      <c r="CI158" s="91"/>
      <c r="CJ158" s="91"/>
      <c r="CK158" s="91"/>
      <c r="CL158" s="91"/>
      <c r="CM158" s="91"/>
      <c r="CN158" s="91"/>
      <c r="CO158" s="91"/>
      <c r="CP158" s="91"/>
      <c r="CQ158" s="91"/>
      <c r="CR158" s="91"/>
      <c r="CS158" s="91"/>
      <c r="CT158" s="91"/>
      <c r="CU158" s="91"/>
      <c r="CV158" s="91"/>
      <c r="CW158" s="91"/>
      <c r="CX158" s="91"/>
      <c r="CY158" s="91"/>
      <c r="CZ158" s="91"/>
      <c r="DA158" s="91"/>
      <c r="DB158" s="91"/>
      <c r="DC158" s="91"/>
      <c r="DD158" s="91"/>
      <c r="DE158" s="91"/>
      <c r="DF158" s="91"/>
      <c r="DG158" s="91"/>
      <c r="DH158" s="91"/>
      <c r="DI158" s="91"/>
      <c r="DJ158" s="91"/>
      <c r="DK158" s="91"/>
      <c r="DL158" s="91"/>
      <c r="DM158" s="91"/>
      <c r="DN158" s="91"/>
      <c r="DO158" s="91"/>
      <c r="DP158" s="91"/>
      <c r="DQ158" s="91"/>
      <c r="DR158" s="91"/>
      <c r="DS158" s="91"/>
      <c r="DT158" s="91"/>
      <c r="DU158" s="91"/>
      <c r="DV158" s="91"/>
      <c r="DW158" s="91"/>
      <c r="DX158" s="91"/>
      <c r="DY158" s="91"/>
      <c r="DZ158" s="91"/>
      <c r="EA158" s="91"/>
      <c r="EB158" s="91"/>
      <c r="EC158" s="91"/>
      <c r="ED158" s="91"/>
      <c r="EE158" s="91"/>
      <c r="EF158" s="91"/>
      <c r="EG158" s="91"/>
      <c r="EH158" s="91"/>
      <c r="EI158" s="91"/>
      <c r="EJ158" s="91"/>
      <c r="EK158" s="91"/>
      <c r="EL158" s="91"/>
      <c r="EM158" s="91"/>
      <c r="EN158" s="91"/>
      <c r="EO158" s="91"/>
      <c r="EP158" s="91"/>
      <c r="EQ158" s="91"/>
      <c r="ER158" s="91"/>
      <c r="ES158" s="91"/>
      <c r="ET158" s="91"/>
      <c r="EU158" s="91"/>
      <c r="EV158" s="91"/>
      <c r="EW158" s="91"/>
      <c r="EX158" s="91"/>
      <c r="EY158" s="91"/>
      <c r="EZ158" s="91"/>
      <c r="FA158" s="91"/>
      <c r="FB158" s="91"/>
      <c r="FC158" s="91"/>
      <c r="FD158" s="91"/>
      <c r="FE158" s="91"/>
      <c r="FF158" s="91"/>
      <c r="FG158" s="91"/>
      <c r="FH158" s="91"/>
      <c r="FI158" s="91"/>
      <c r="FJ158" s="91"/>
      <c r="FK158" s="91"/>
      <c r="FL158" s="91"/>
      <c r="FM158" s="91"/>
      <c r="FN158" s="91"/>
      <c r="FO158" s="91"/>
      <c r="FP158" s="91"/>
      <c r="FQ158" s="91"/>
      <c r="FR158" s="91"/>
      <c r="FS158" s="91"/>
      <c r="FT158" s="91"/>
      <c r="FU158" s="91"/>
      <c r="FV158" s="91"/>
      <c r="FW158" s="91"/>
      <c r="FX158" s="91"/>
      <c r="FY158" s="91"/>
      <c r="FZ158" s="91"/>
      <c r="GA158" s="91"/>
      <c r="GB158" s="91"/>
      <c r="GC158" s="91"/>
      <c r="GD158" s="91"/>
      <c r="GE158" s="91"/>
      <c r="GF158" s="91"/>
      <c r="GG158" s="91"/>
      <c r="GH158" s="91"/>
      <c r="GI158" s="91"/>
      <c r="GJ158" s="91"/>
      <c r="GK158" s="91"/>
      <c r="GL158" s="91"/>
      <c r="GM158" s="91"/>
      <c r="GN158" s="91"/>
      <c r="GO158" s="91"/>
      <c r="GP158" s="91"/>
      <c r="GQ158" s="91"/>
      <c r="GR158" s="91"/>
      <c r="GS158" s="91"/>
      <c r="GT158" s="91"/>
      <c r="GU158" s="91"/>
      <c r="GV158" s="91"/>
      <c r="GW158" s="91"/>
      <c r="GX158" s="91"/>
      <c r="GY158" s="91"/>
      <c r="GZ158" s="91"/>
      <c r="HA158" s="91"/>
      <c r="HB158" s="91"/>
      <c r="HC158" s="91"/>
      <c r="HD158" s="91"/>
      <c r="HE158" s="91"/>
      <c r="HF158" s="91"/>
      <c r="HG158" s="91"/>
      <c r="HH158" s="91"/>
      <c r="HI158" s="91"/>
      <c r="HJ158" s="91"/>
      <c r="HK158" s="91"/>
      <c r="HL158" s="91"/>
      <c r="HM158" s="91"/>
      <c r="HN158" s="91"/>
      <c r="HO158" s="91"/>
      <c r="HP158" s="91"/>
      <c r="HQ158" s="91"/>
      <c r="HR158" s="91"/>
      <c r="HS158" s="91"/>
      <c r="HT158" s="91"/>
      <c r="HU158" s="91"/>
      <c r="HV158" s="91"/>
      <c r="HW158" s="91"/>
      <c r="HX158" s="91"/>
      <c r="HY158" s="91"/>
      <c r="HZ158" s="91"/>
      <c r="IA158" s="91"/>
      <c r="IB158" s="91"/>
      <c r="IC158" s="91"/>
      <c r="ID158" s="91"/>
      <c r="IE158" s="91"/>
      <c r="IF158" s="91"/>
      <c r="IG158" s="91"/>
      <c r="IH158" s="91"/>
      <c r="II158" s="91"/>
      <c r="IJ158" s="91"/>
      <c r="IK158" s="91"/>
      <c r="IL158" s="91"/>
      <c r="IM158" s="91"/>
      <c r="IN158" s="91"/>
      <c r="IO158" s="91"/>
      <c r="IP158" s="91"/>
      <c r="IQ158" s="91"/>
      <c r="IR158" s="91"/>
      <c r="IS158" s="91"/>
      <c r="IT158" s="91"/>
      <c r="IU158" s="91"/>
      <c r="IV158" s="91"/>
    </row>
    <row r="159" s="92" customFormat="1" ht="20.1" customHeight="1" spans="1:256">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91"/>
      <c r="BC159" s="91"/>
      <c r="BD159" s="91"/>
      <c r="BE159" s="91"/>
      <c r="BF159" s="91"/>
      <c r="BG159" s="91"/>
      <c r="BH159" s="91"/>
      <c r="BI159" s="91"/>
      <c r="BJ159" s="91"/>
      <c r="BK159" s="91"/>
      <c r="BL159" s="91"/>
      <c r="BM159" s="91"/>
      <c r="BN159" s="91"/>
      <c r="BO159" s="91"/>
      <c r="BP159" s="91"/>
      <c r="BQ159" s="91"/>
      <c r="BR159" s="91"/>
      <c r="BS159" s="91"/>
      <c r="BT159" s="91"/>
      <c r="BU159" s="91"/>
      <c r="BV159" s="91"/>
      <c r="BW159" s="91"/>
      <c r="BX159" s="91"/>
      <c r="BY159" s="91"/>
      <c r="BZ159" s="91"/>
      <c r="CA159" s="91"/>
      <c r="CB159" s="91"/>
      <c r="CC159" s="91"/>
      <c r="CD159" s="91"/>
      <c r="CE159" s="91"/>
      <c r="CF159" s="91"/>
      <c r="CG159" s="91"/>
      <c r="CH159" s="91"/>
      <c r="CI159" s="91"/>
      <c r="CJ159" s="91"/>
      <c r="CK159" s="91"/>
      <c r="CL159" s="91"/>
      <c r="CM159" s="91"/>
      <c r="CN159" s="91"/>
      <c r="CO159" s="91"/>
      <c r="CP159" s="91"/>
      <c r="CQ159" s="91"/>
      <c r="CR159" s="91"/>
      <c r="CS159" s="91"/>
      <c r="CT159" s="91"/>
      <c r="CU159" s="91"/>
      <c r="CV159" s="91"/>
      <c r="CW159" s="91"/>
      <c r="CX159" s="91"/>
      <c r="CY159" s="91"/>
      <c r="CZ159" s="91"/>
      <c r="DA159" s="91"/>
      <c r="DB159" s="91"/>
      <c r="DC159" s="91"/>
      <c r="DD159" s="91"/>
      <c r="DE159" s="91"/>
      <c r="DF159" s="91"/>
      <c r="DG159" s="91"/>
      <c r="DH159" s="91"/>
      <c r="DI159" s="91"/>
      <c r="DJ159" s="91"/>
      <c r="DK159" s="91"/>
      <c r="DL159" s="91"/>
      <c r="DM159" s="91"/>
      <c r="DN159" s="91"/>
      <c r="DO159" s="91"/>
      <c r="DP159" s="91"/>
      <c r="DQ159" s="91"/>
      <c r="DR159" s="91"/>
      <c r="DS159" s="91"/>
      <c r="DT159" s="91"/>
      <c r="DU159" s="91"/>
      <c r="DV159" s="91"/>
      <c r="DW159" s="91"/>
      <c r="DX159" s="91"/>
      <c r="DY159" s="91"/>
      <c r="DZ159" s="91"/>
      <c r="EA159" s="91"/>
      <c r="EB159" s="91"/>
      <c r="EC159" s="91"/>
      <c r="ED159" s="91"/>
      <c r="EE159" s="91"/>
      <c r="EF159" s="91"/>
      <c r="EG159" s="91"/>
      <c r="EH159" s="91"/>
      <c r="EI159" s="91"/>
      <c r="EJ159" s="91"/>
      <c r="EK159" s="91"/>
      <c r="EL159" s="91"/>
      <c r="EM159" s="91"/>
      <c r="EN159" s="91"/>
      <c r="EO159" s="91"/>
      <c r="EP159" s="91"/>
      <c r="EQ159" s="91"/>
      <c r="ER159" s="91"/>
      <c r="ES159" s="91"/>
      <c r="ET159" s="91"/>
      <c r="EU159" s="91"/>
      <c r="EV159" s="91"/>
      <c r="EW159" s="91"/>
      <c r="EX159" s="91"/>
      <c r="EY159" s="91"/>
      <c r="EZ159" s="91"/>
      <c r="FA159" s="91"/>
      <c r="FB159" s="91"/>
      <c r="FC159" s="91"/>
      <c r="FD159" s="91"/>
      <c r="FE159" s="91"/>
      <c r="FF159" s="91"/>
      <c r="FG159" s="91"/>
      <c r="FH159" s="91"/>
      <c r="FI159" s="91"/>
      <c r="FJ159" s="91"/>
      <c r="FK159" s="91"/>
      <c r="FL159" s="91"/>
      <c r="FM159" s="91"/>
      <c r="FN159" s="91"/>
      <c r="FO159" s="91"/>
      <c r="FP159" s="91"/>
      <c r="FQ159" s="91"/>
      <c r="FR159" s="91"/>
      <c r="FS159" s="91"/>
      <c r="FT159" s="91"/>
      <c r="FU159" s="91"/>
      <c r="FV159" s="91"/>
      <c r="FW159" s="91"/>
      <c r="FX159" s="91"/>
      <c r="FY159" s="91"/>
      <c r="FZ159" s="91"/>
      <c r="GA159" s="91"/>
      <c r="GB159" s="91"/>
      <c r="GC159" s="91"/>
      <c r="GD159" s="91"/>
      <c r="GE159" s="91"/>
      <c r="GF159" s="91"/>
      <c r="GG159" s="91"/>
      <c r="GH159" s="91"/>
      <c r="GI159" s="91"/>
      <c r="GJ159" s="91"/>
      <c r="GK159" s="91"/>
      <c r="GL159" s="91"/>
      <c r="GM159" s="91"/>
      <c r="GN159" s="91"/>
      <c r="GO159" s="91"/>
      <c r="GP159" s="91"/>
      <c r="GQ159" s="91"/>
      <c r="GR159" s="91"/>
      <c r="GS159" s="91"/>
      <c r="GT159" s="91"/>
      <c r="GU159" s="91"/>
      <c r="GV159" s="91"/>
      <c r="GW159" s="91"/>
      <c r="GX159" s="91"/>
      <c r="GY159" s="91"/>
      <c r="GZ159" s="91"/>
      <c r="HA159" s="91"/>
      <c r="HB159" s="91"/>
      <c r="HC159" s="91"/>
      <c r="HD159" s="91"/>
      <c r="HE159" s="91"/>
      <c r="HF159" s="91"/>
      <c r="HG159" s="91"/>
      <c r="HH159" s="91"/>
      <c r="HI159" s="91"/>
      <c r="HJ159" s="91"/>
      <c r="HK159" s="91"/>
      <c r="HL159" s="91"/>
      <c r="HM159" s="91"/>
      <c r="HN159" s="91"/>
      <c r="HO159" s="91"/>
      <c r="HP159" s="91"/>
      <c r="HQ159" s="91"/>
      <c r="HR159" s="91"/>
      <c r="HS159" s="91"/>
      <c r="HT159" s="91"/>
      <c r="HU159" s="91"/>
      <c r="HV159" s="91"/>
      <c r="HW159" s="91"/>
      <c r="HX159" s="91"/>
      <c r="HY159" s="91"/>
      <c r="HZ159" s="91"/>
      <c r="IA159" s="91"/>
      <c r="IB159" s="91"/>
      <c r="IC159" s="91"/>
      <c r="ID159" s="91"/>
      <c r="IE159" s="91"/>
      <c r="IF159" s="91"/>
      <c r="IG159" s="91"/>
      <c r="IH159" s="91"/>
      <c r="II159" s="91"/>
      <c r="IJ159" s="91"/>
      <c r="IK159" s="91"/>
      <c r="IL159" s="91"/>
      <c r="IM159" s="91"/>
      <c r="IN159" s="91"/>
      <c r="IO159" s="91"/>
      <c r="IP159" s="91"/>
      <c r="IQ159" s="91"/>
      <c r="IR159" s="91"/>
      <c r="IS159" s="91"/>
      <c r="IT159" s="91"/>
      <c r="IU159" s="91"/>
      <c r="IV159" s="91"/>
    </row>
    <row r="160" s="92" customFormat="1" ht="20.1" customHeight="1" spans="1:256">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c r="BI160" s="91"/>
      <c r="BJ160" s="91"/>
      <c r="BK160" s="91"/>
      <c r="BL160" s="91"/>
      <c r="BM160" s="91"/>
      <c r="BN160" s="91"/>
      <c r="BO160" s="91"/>
      <c r="BP160" s="91"/>
      <c r="BQ160" s="91"/>
      <c r="BR160" s="91"/>
      <c r="BS160" s="91"/>
      <c r="BT160" s="91"/>
      <c r="BU160" s="91"/>
      <c r="BV160" s="91"/>
      <c r="BW160" s="91"/>
      <c r="BX160" s="91"/>
      <c r="BY160" s="91"/>
      <c r="BZ160" s="91"/>
      <c r="CA160" s="91"/>
      <c r="CB160" s="91"/>
      <c r="CC160" s="91"/>
      <c r="CD160" s="91"/>
      <c r="CE160" s="91"/>
      <c r="CF160" s="91"/>
      <c r="CG160" s="91"/>
      <c r="CH160" s="91"/>
      <c r="CI160" s="91"/>
      <c r="CJ160" s="91"/>
      <c r="CK160" s="91"/>
      <c r="CL160" s="91"/>
      <c r="CM160" s="91"/>
      <c r="CN160" s="91"/>
      <c r="CO160" s="91"/>
      <c r="CP160" s="91"/>
      <c r="CQ160" s="91"/>
      <c r="CR160" s="91"/>
      <c r="CS160" s="91"/>
      <c r="CT160" s="91"/>
      <c r="CU160" s="91"/>
      <c r="CV160" s="91"/>
      <c r="CW160" s="91"/>
      <c r="CX160" s="91"/>
      <c r="CY160" s="91"/>
      <c r="CZ160" s="91"/>
      <c r="DA160" s="91"/>
      <c r="DB160" s="91"/>
      <c r="DC160" s="91"/>
      <c r="DD160" s="91"/>
      <c r="DE160" s="91"/>
      <c r="DF160" s="91"/>
      <c r="DG160" s="91"/>
      <c r="DH160" s="91"/>
      <c r="DI160" s="91"/>
      <c r="DJ160" s="91"/>
      <c r="DK160" s="91"/>
      <c r="DL160" s="91"/>
      <c r="DM160" s="91"/>
      <c r="DN160" s="91"/>
      <c r="DO160" s="91"/>
      <c r="DP160" s="91"/>
      <c r="DQ160" s="91"/>
      <c r="DR160" s="91"/>
      <c r="DS160" s="91"/>
      <c r="DT160" s="91"/>
      <c r="DU160" s="91"/>
      <c r="DV160" s="91"/>
      <c r="DW160" s="91"/>
      <c r="DX160" s="91"/>
      <c r="DY160" s="91"/>
      <c r="DZ160" s="91"/>
      <c r="EA160" s="91"/>
      <c r="EB160" s="91"/>
      <c r="EC160" s="91"/>
      <c r="ED160" s="91"/>
      <c r="EE160" s="91"/>
      <c r="EF160" s="91"/>
      <c r="EG160" s="91"/>
      <c r="EH160" s="91"/>
      <c r="EI160" s="91"/>
      <c r="EJ160" s="91"/>
      <c r="EK160" s="91"/>
      <c r="EL160" s="91"/>
      <c r="EM160" s="91"/>
      <c r="EN160" s="91"/>
      <c r="EO160" s="91"/>
      <c r="EP160" s="91"/>
      <c r="EQ160" s="91"/>
      <c r="ER160" s="91"/>
      <c r="ES160" s="91"/>
      <c r="ET160" s="91"/>
      <c r="EU160" s="91"/>
      <c r="EV160" s="91"/>
      <c r="EW160" s="91"/>
      <c r="EX160" s="91"/>
      <c r="EY160" s="91"/>
      <c r="EZ160" s="91"/>
      <c r="FA160" s="91"/>
      <c r="FB160" s="91"/>
      <c r="FC160" s="91"/>
      <c r="FD160" s="91"/>
      <c r="FE160" s="91"/>
      <c r="FF160" s="91"/>
      <c r="FG160" s="91"/>
      <c r="FH160" s="91"/>
      <c r="FI160" s="91"/>
      <c r="FJ160" s="91"/>
      <c r="FK160" s="91"/>
      <c r="FL160" s="91"/>
      <c r="FM160" s="91"/>
      <c r="FN160" s="91"/>
      <c r="FO160" s="91"/>
      <c r="FP160" s="91"/>
      <c r="FQ160" s="91"/>
      <c r="FR160" s="91"/>
      <c r="FS160" s="91"/>
      <c r="FT160" s="91"/>
      <c r="FU160" s="91"/>
      <c r="FV160" s="91"/>
      <c r="FW160" s="91"/>
      <c r="FX160" s="91"/>
      <c r="FY160" s="91"/>
      <c r="FZ160" s="91"/>
      <c r="GA160" s="91"/>
      <c r="GB160" s="91"/>
      <c r="GC160" s="91"/>
      <c r="GD160" s="91"/>
      <c r="GE160" s="91"/>
      <c r="GF160" s="91"/>
      <c r="GG160" s="91"/>
      <c r="GH160" s="91"/>
      <c r="GI160" s="91"/>
      <c r="GJ160" s="91"/>
      <c r="GK160" s="91"/>
      <c r="GL160" s="91"/>
      <c r="GM160" s="91"/>
      <c r="GN160" s="91"/>
      <c r="GO160" s="91"/>
      <c r="GP160" s="91"/>
      <c r="GQ160" s="91"/>
      <c r="GR160" s="91"/>
      <c r="GS160" s="91"/>
      <c r="GT160" s="91"/>
      <c r="GU160" s="91"/>
      <c r="GV160" s="91"/>
      <c r="GW160" s="91"/>
      <c r="GX160" s="91"/>
      <c r="GY160" s="91"/>
      <c r="GZ160" s="91"/>
      <c r="HA160" s="91"/>
      <c r="HB160" s="91"/>
      <c r="HC160" s="91"/>
      <c r="HD160" s="91"/>
      <c r="HE160" s="91"/>
      <c r="HF160" s="91"/>
      <c r="HG160" s="91"/>
      <c r="HH160" s="91"/>
      <c r="HI160" s="91"/>
      <c r="HJ160" s="91"/>
      <c r="HK160" s="91"/>
      <c r="HL160" s="91"/>
      <c r="HM160" s="91"/>
      <c r="HN160" s="91"/>
      <c r="HO160" s="91"/>
      <c r="HP160" s="91"/>
      <c r="HQ160" s="91"/>
      <c r="HR160" s="91"/>
      <c r="HS160" s="91"/>
      <c r="HT160" s="91"/>
      <c r="HU160" s="91"/>
      <c r="HV160" s="91"/>
      <c r="HW160" s="91"/>
      <c r="HX160" s="91"/>
      <c r="HY160" s="91"/>
      <c r="HZ160" s="91"/>
      <c r="IA160" s="91"/>
      <c r="IB160" s="91"/>
      <c r="IC160" s="91"/>
      <c r="ID160" s="91"/>
      <c r="IE160" s="91"/>
      <c r="IF160" s="91"/>
      <c r="IG160" s="91"/>
      <c r="IH160" s="91"/>
      <c r="II160" s="91"/>
      <c r="IJ160" s="91"/>
      <c r="IK160" s="91"/>
      <c r="IL160" s="91"/>
      <c r="IM160" s="91"/>
      <c r="IN160" s="91"/>
      <c r="IO160" s="91"/>
      <c r="IP160" s="91"/>
      <c r="IQ160" s="91"/>
      <c r="IR160" s="91"/>
      <c r="IS160" s="91"/>
      <c r="IT160" s="91"/>
      <c r="IU160" s="91"/>
      <c r="IV160" s="91"/>
    </row>
    <row r="161" s="92" customFormat="1" ht="20.1" customHeight="1" spans="1:256">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91"/>
      <c r="BE161" s="91"/>
      <c r="BF161" s="91"/>
      <c r="BG161" s="91"/>
      <c r="BH161" s="91"/>
      <c r="BI161" s="91"/>
      <c r="BJ161" s="91"/>
      <c r="BK161" s="91"/>
      <c r="BL161" s="91"/>
      <c r="BM161" s="91"/>
      <c r="BN161" s="91"/>
      <c r="BO161" s="91"/>
      <c r="BP161" s="91"/>
      <c r="BQ161" s="91"/>
      <c r="BR161" s="91"/>
      <c r="BS161" s="91"/>
      <c r="BT161" s="91"/>
      <c r="BU161" s="91"/>
      <c r="BV161" s="91"/>
      <c r="BW161" s="91"/>
      <c r="BX161" s="91"/>
      <c r="BY161" s="91"/>
      <c r="BZ161" s="91"/>
      <c r="CA161" s="91"/>
      <c r="CB161" s="91"/>
      <c r="CC161" s="91"/>
      <c r="CD161" s="91"/>
      <c r="CE161" s="91"/>
      <c r="CF161" s="91"/>
      <c r="CG161" s="91"/>
      <c r="CH161" s="91"/>
      <c r="CI161" s="91"/>
      <c r="CJ161" s="91"/>
      <c r="CK161" s="91"/>
      <c r="CL161" s="91"/>
      <c r="CM161" s="91"/>
      <c r="CN161" s="91"/>
      <c r="CO161" s="91"/>
      <c r="CP161" s="91"/>
      <c r="CQ161" s="91"/>
      <c r="CR161" s="91"/>
      <c r="CS161" s="91"/>
      <c r="CT161" s="91"/>
      <c r="CU161" s="91"/>
      <c r="CV161" s="91"/>
      <c r="CW161" s="91"/>
      <c r="CX161" s="91"/>
      <c r="CY161" s="91"/>
      <c r="CZ161" s="91"/>
      <c r="DA161" s="91"/>
      <c r="DB161" s="91"/>
      <c r="DC161" s="91"/>
      <c r="DD161" s="91"/>
      <c r="DE161" s="91"/>
      <c r="DF161" s="91"/>
      <c r="DG161" s="91"/>
      <c r="DH161" s="91"/>
      <c r="DI161" s="91"/>
      <c r="DJ161" s="91"/>
      <c r="DK161" s="91"/>
      <c r="DL161" s="91"/>
      <c r="DM161" s="91"/>
      <c r="DN161" s="91"/>
      <c r="DO161" s="91"/>
      <c r="DP161" s="91"/>
      <c r="DQ161" s="91"/>
      <c r="DR161" s="91"/>
      <c r="DS161" s="91"/>
      <c r="DT161" s="91"/>
      <c r="DU161" s="91"/>
      <c r="DV161" s="91"/>
      <c r="DW161" s="91"/>
      <c r="DX161" s="91"/>
      <c r="DY161" s="91"/>
      <c r="DZ161" s="91"/>
      <c r="EA161" s="91"/>
      <c r="EB161" s="91"/>
      <c r="EC161" s="91"/>
      <c r="ED161" s="91"/>
      <c r="EE161" s="91"/>
      <c r="EF161" s="91"/>
      <c r="EG161" s="91"/>
      <c r="EH161" s="91"/>
      <c r="EI161" s="91"/>
      <c r="EJ161" s="91"/>
      <c r="EK161" s="91"/>
      <c r="EL161" s="91"/>
      <c r="EM161" s="91"/>
      <c r="EN161" s="91"/>
      <c r="EO161" s="91"/>
      <c r="EP161" s="91"/>
      <c r="EQ161" s="91"/>
      <c r="ER161" s="91"/>
      <c r="ES161" s="91"/>
      <c r="ET161" s="91"/>
      <c r="EU161" s="91"/>
      <c r="EV161" s="91"/>
      <c r="EW161" s="91"/>
      <c r="EX161" s="91"/>
      <c r="EY161" s="91"/>
      <c r="EZ161" s="91"/>
      <c r="FA161" s="91"/>
      <c r="FB161" s="91"/>
      <c r="FC161" s="91"/>
      <c r="FD161" s="91"/>
      <c r="FE161" s="91"/>
      <c r="FF161" s="91"/>
      <c r="FG161" s="91"/>
      <c r="FH161" s="91"/>
      <c r="FI161" s="91"/>
      <c r="FJ161" s="91"/>
      <c r="FK161" s="91"/>
      <c r="FL161" s="91"/>
      <c r="FM161" s="91"/>
      <c r="FN161" s="91"/>
      <c r="FO161" s="91"/>
      <c r="FP161" s="91"/>
      <c r="FQ161" s="91"/>
      <c r="FR161" s="91"/>
      <c r="FS161" s="91"/>
      <c r="FT161" s="91"/>
      <c r="FU161" s="91"/>
      <c r="FV161" s="91"/>
      <c r="FW161" s="91"/>
      <c r="FX161" s="91"/>
      <c r="FY161" s="91"/>
      <c r="FZ161" s="91"/>
      <c r="GA161" s="91"/>
      <c r="GB161" s="91"/>
      <c r="GC161" s="91"/>
      <c r="GD161" s="91"/>
      <c r="GE161" s="91"/>
      <c r="GF161" s="91"/>
      <c r="GG161" s="91"/>
      <c r="GH161" s="91"/>
      <c r="GI161" s="91"/>
      <c r="GJ161" s="91"/>
      <c r="GK161" s="91"/>
      <c r="GL161" s="91"/>
      <c r="GM161" s="91"/>
      <c r="GN161" s="91"/>
      <c r="GO161" s="91"/>
      <c r="GP161" s="91"/>
      <c r="GQ161" s="91"/>
      <c r="GR161" s="91"/>
      <c r="GS161" s="91"/>
      <c r="GT161" s="91"/>
      <c r="GU161" s="91"/>
      <c r="GV161" s="91"/>
      <c r="GW161" s="91"/>
      <c r="GX161" s="91"/>
      <c r="GY161" s="91"/>
      <c r="GZ161" s="91"/>
      <c r="HA161" s="91"/>
      <c r="HB161" s="91"/>
      <c r="HC161" s="91"/>
      <c r="HD161" s="91"/>
      <c r="HE161" s="91"/>
      <c r="HF161" s="91"/>
      <c r="HG161" s="91"/>
      <c r="HH161" s="91"/>
      <c r="HI161" s="91"/>
      <c r="HJ161" s="91"/>
      <c r="HK161" s="91"/>
      <c r="HL161" s="91"/>
      <c r="HM161" s="91"/>
      <c r="HN161" s="91"/>
      <c r="HO161" s="91"/>
      <c r="HP161" s="91"/>
      <c r="HQ161" s="91"/>
      <c r="HR161" s="91"/>
      <c r="HS161" s="91"/>
      <c r="HT161" s="91"/>
      <c r="HU161" s="91"/>
      <c r="HV161" s="91"/>
      <c r="HW161" s="91"/>
      <c r="HX161" s="91"/>
      <c r="HY161" s="91"/>
      <c r="HZ161" s="91"/>
      <c r="IA161" s="91"/>
      <c r="IB161" s="91"/>
      <c r="IC161" s="91"/>
      <c r="ID161" s="91"/>
      <c r="IE161" s="91"/>
      <c r="IF161" s="91"/>
      <c r="IG161" s="91"/>
      <c r="IH161" s="91"/>
      <c r="II161" s="91"/>
      <c r="IJ161" s="91"/>
      <c r="IK161" s="91"/>
      <c r="IL161" s="91"/>
      <c r="IM161" s="91"/>
      <c r="IN161" s="91"/>
      <c r="IO161" s="91"/>
      <c r="IP161" s="91"/>
      <c r="IQ161" s="91"/>
      <c r="IR161" s="91"/>
      <c r="IS161" s="91"/>
      <c r="IT161" s="91"/>
      <c r="IU161" s="91"/>
      <c r="IV161" s="91"/>
    </row>
    <row r="162" s="92" customFormat="1" ht="20.1" customHeight="1" spans="1:256">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c r="BE162" s="91"/>
      <c r="BF162" s="91"/>
      <c r="BG162" s="91"/>
      <c r="BH162" s="91"/>
      <c r="BI162" s="91"/>
      <c r="BJ162" s="91"/>
      <c r="BK162" s="91"/>
      <c r="BL162" s="91"/>
      <c r="BM162" s="91"/>
      <c r="BN162" s="91"/>
      <c r="BO162" s="91"/>
      <c r="BP162" s="91"/>
      <c r="BQ162" s="91"/>
      <c r="BR162" s="91"/>
      <c r="BS162" s="91"/>
      <c r="BT162" s="91"/>
      <c r="BU162" s="91"/>
      <c r="BV162" s="91"/>
      <c r="BW162" s="91"/>
      <c r="BX162" s="91"/>
      <c r="BY162" s="91"/>
      <c r="BZ162" s="91"/>
      <c r="CA162" s="91"/>
      <c r="CB162" s="91"/>
      <c r="CC162" s="91"/>
      <c r="CD162" s="91"/>
      <c r="CE162" s="91"/>
      <c r="CF162" s="91"/>
      <c r="CG162" s="91"/>
      <c r="CH162" s="91"/>
      <c r="CI162" s="91"/>
      <c r="CJ162" s="91"/>
      <c r="CK162" s="91"/>
      <c r="CL162" s="91"/>
      <c r="CM162" s="91"/>
      <c r="CN162" s="91"/>
      <c r="CO162" s="91"/>
      <c r="CP162" s="91"/>
      <c r="CQ162" s="91"/>
      <c r="CR162" s="91"/>
      <c r="CS162" s="91"/>
      <c r="CT162" s="91"/>
      <c r="CU162" s="91"/>
      <c r="CV162" s="91"/>
      <c r="CW162" s="91"/>
      <c r="CX162" s="91"/>
      <c r="CY162" s="91"/>
      <c r="CZ162" s="91"/>
      <c r="DA162" s="91"/>
      <c r="DB162" s="91"/>
      <c r="DC162" s="91"/>
      <c r="DD162" s="91"/>
      <c r="DE162" s="91"/>
      <c r="DF162" s="91"/>
      <c r="DG162" s="91"/>
      <c r="DH162" s="91"/>
      <c r="DI162" s="91"/>
      <c r="DJ162" s="91"/>
      <c r="DK162" s="91"/>
      <c r="DL162" s="91"/>
      <c r="DM162" s="91"/>
      <c r="DN162" s="91"/>
      <c r="DO162" s="91"/>
      <c r="DP162" s="91"/>
      <c r="DQ162" s="91"/>
      <c r="DR162" s="91"/>
      <c r="DS162" s="91"/>
      <c r="DT162" s="91"/>
      <c r="DU162" s="91"/>
      <c r="DV162" s="91"/>
      <c r="DW162" s="91"/>
      <c r="DX162" s="91"/>
      <c r="DY162" s="91"/>
      <c r="DZ162" s="91"/>
      <c r="EA162" s="91"/>
      <c r="EB162" s="91"/>
      <c r="EC162" s="91"/>
      <c r="ED162" s="91"/>
      <c r="EE162" s="91"/>
      <c r="EF162" s="91"/>
      <c r="EG162" s="91"/>
      <c r="EH162" s="91"/>
      <c r="EI162" s="91"/>
      <c r="EJ162" s="91"/>
      <c r="EK162" s="91"/>
      <c r="EL162" s="91"/>
      <c r="EM162" s="91"/>
      <c r="EN162" s="91"/>
      <c r="EO162" s="91"/>
      <c r="EP162" s="91"/>
      <c r="EQ162" s="91"/>
      <c r="ER162" s="91"/>
      <c r="ES162" s="91"/>
      <c r="ET162" s="91"/>
      <c r="EU162" s="91"/>
      <c r="EV162" s="91"/>
      <c r="EW162" s="91"/>
      <c r="EX162" s="91"/>
      <c r="EY162" s="91"/>
      <c r="EZ162" s="91"/>
      <c r="FA162" s="91"/>
      <c r="FB162" s="91"/>
      <c r="FC162" s="91"/>
      <c r="FD162" s="91"/>
      <c r="FE162" s="91"/>
      <c r="FF162" s="91"/>
      <c r="FG162" s="91"/>
      <c r="FH162" s="91"/>
      <c r="FI162" s="91"/>
      <c r="FJ162" s="91"/>
      <c r="FK162" s="91"/>
      <c r="FL162" s="91"/>
      <c r="FM162" s="91"/>
      <c r="FN162" s="91"/>
      <c r="FO162" s="91"/>
      <c r="FP162" s="91"/>
      <c r="FQ162" s="91"/>
      <c r="FR162" s="91"/>
      <c r="FS162" s="91"/>
      <c r="FT162" s="91"/>
      <c r="FU162" s="91"/>
      <c r="FV162" s="91"/>
      <c r="FW162" s="91"/>
      <c r="FX162" s="91"/>
      <c r="FY162" s="91"/>
      <c r="FZ162" s="91"/>
      <c r="GA162" s="91"/>
      <c r="GB162" s="91"/>
      <c r="GC162" s="91"/>
      <c r="GD162" s="91"/>
      <c r="GE162" s="91"/>
      <c r="GF162" s="91"/>
      <c r="GG162" s="91"/>
      <c r="GH162" s="91"/>
      <c r="GI162" s="91"/>
      <c r="GJ162" s="91"/>
      <c r="GK162" s="91"/>
      <c r="GL162" s="91"/>
      <c r="GM162" s="91"/>
      <c r="GN162" s="91"/>
      <c r="GO162" s="91"/>
      <c r="GP162" s="91"/>
      <c r="GQ162" s="91"/>
      <c r="GR162" s="91"/>
      <c r="GS162" s="91"/>
      <c r="GT162" s="91"/>
      <c r="GU162" s="91"/>
      <c r="GV162" s="91"/>
      <c r="GW162" s="91"/>
      <c r="GX162" s="91"/>
      <c r="GY162" s="91"/>
      <c r="GZ162" s="91"/>
      <c r="HA162" s="91"/>
      <c r="HB162" s="91"/>
      <c r="HC162" s="91"/>
      <c r="HD162" s="91"/>
      <c r="HE162" s="91"/>
      <c r="HF162" s="91"/>
      <c r="HG162" s="91"/>
      <c r="HH162" s="91"/>
      <c r="HI162" s="91"/>
      <c r="HJ162" s="91"/>
      <c r="HK162" s="91"/>
      <c r="HL162" s="91"/>
      <c r="HM162" s="91"/>
      <c r="HN162" s="91"/>
      <c r="HO162" s="91"/>
      <c r="HP162" s="91"/>
      <c r="HQ162" s="91"/>
      <c r="HR162" s="91"/>
      <c r="HS162" s="91"/>
      <c r="HT162" s="91"/>
      <c r="HU162" s="91"/>
      <c r="HV162" s="91"/>
      <c r="HW162" s="91"/>
      <c r="HX162" s="91"/>
      <c r="HY162" s="91"/>
      <c r="HZ162" s="91"/>
      <c r="IA162" s="91"/>
      <c r="IB162" s="91"/>
      <c r="IC162" s="91"/>
      <c r="ID162" s="91"/>
      <c r="IE162" s="91"/>
      <c r="IF162" s="91"/>
      <c r="IG162" s="91"/>
      <c r="IH162" s="91"/>
      <c r="II162" s="91"/>
      <c r="IJ162" s="91"/>
      <c r="IK162" s="91"/>
      <c r="IL162" s="91"/>
      <c r="IM162" s="91"/>
      <c r="IN162" s="91"/>
      <c r="IO162" s="91"/>
      <c r="IP162" s="91"/>
      <c r="IQ162" s="91"/>
      <c r="IR162" s="91"/>
      <c r="IS162" s="91"/>
      <c r="IT162" s="91"/>
      <c r="IU162" s="91"/>
      <c r="IV162" s="91"/>
    </row>
    <row r="163" s="92" customFormat="1" ht="20.1" customHeight="1" spans="1:256">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91"/>
      <c r="BE163" s="91"/>
      <c r="BF163" s="91"/>
      <c r="BG163" s="91"/>
      <c r="BH163" s="91"/>
      <c r="BI163" s="91"/>
      <c r="BJ163" s="91"/>
      <c r="BK163" s="91"/>
      <c r="BL163" s="91"/>
      <c r="BM163" s="91"/>
      <c r="BN163" s="91"/>
      <c r="BO163" s="91"/>
      <c r="BP163" s="91"/>
      <c r="BQ163" s="91"/>
      <c r="BR163" s="91"/>
      <c r="BS163" s="91"/>
      <c r="BT163" s="91"/>
      <c r="BU163" s="91"/>
      <c r="BV163" s="91"/>
      <c r="BW163" s="91"/>
      <c r="BX163" s="91"/>
      <c r="BY163" s="91"/>
      <c r="BZ163" s="91"/>
      <c r="CA163" s="91"/>
      <c r="CB163" s="91"/>
      <c r="CC163" s="91"/>
      <c r="CD163" s="91"/>
      <c r="CE163" s="91"/>
      <c r="CF163" s="91"/>
      <c r="CG163" s="91"/>
      <c r="CH163" s="91"/>
      <c r="CI163" s="91"/>
      <c r="CJ163" s="91"/>
      <c r="CK163" s="91"/>
      <c r="CL163" s="91"/>
      <c r="CM163" s="91"/>
      <c r="CN163" s="91"/>
      <c r="CO163" s="91"/>
      <c r="CP163" s="91"/>
      <c r="CQ163" s="91"/>
      <c r="CR163" s="91"/>
      <c r="CS163" s="91"/>
      <c r="CT163" s="91"/>
      <c r="CU163" s="91"/>
      <c r="CV163" s="91"/>
      <c r="CW163" s="91"/>
      <c r="CX163" s="91"/>
      <c r="CY163" s="91"/>
      <c r="CZ163" s="91"/>
      <c r="DA163" s="91"/>
      <c r="DB163" s="91"/>
      <c r="DC163" s="91"/>
      <c r="DD163" s="91"/>
      <c r="DE163" s="91"/>
      <c r="DF163" s="91"/>
      <c r="DG163" s="91"/>
      <c r="DH163" s="91"/>
      <c r="DI163" s="91"/>
      <c r="DJ163" s="91"/>
      <c r="DK163" s="91"/>
      <c r="DL163" s="91"/>
      <c r="DM163" s="91"/>
      <c r="DN163" s="91"/>
      <c r="DO163" s="91"/>
      <c r="DP163" s="91"/>
      <c r="DQ163" s="91"/>
      <c r="DR163" s="91"/>
      <c r="DS163" s="91"/>
      <c r="DT163" s="91"/>
      <c r="DU163" s="91"/>
      <c r="DV163" s="91"/>
      <c r="DW163" s="91"/>
      <c r="DX163" s="91"/>
      <c r="DY163" s="91"/>
      <c r="DZ163" s="91"/>
      <c r="EA163" s="91"/>
      <c r="EB163" s="91"/>
      <c r="EC163" s="91"/>
      <c r="ED163" s="91"/>
      <c r="EE163" s="91"/>
      <c r="EF163" s="91"/>
      <c r="EG163" s="91"/>
      <c r="EH163" s="91"/>
      <c r="EI163" s="91"/>
      <c r="EJ163" s="91"/>
      <c r="EK163" s="91"/>
      <c r="EL163" s="91"/>
      <c r="EM163" s="91"/>
      <c r="EN163" s="91"/>
      <c r="EO163" s="91"/>
      <c r="EP163" s="91"/>
      <c r="EQ163" s="91"/>
      <c r="ER163" s="91"/>
      <c r="ES163" s="91"/>
      <c r="ET163" s="91"/>
      <c r="EU163" s="91"/>
      <c r="EV163" s="91"/>
      <c r="EW163" s="91"/>
      <c r="EX163" s="91"/>
      <c r="EY163" s="91"/>
      <c r="EZ163" s="91"/>
      <c r="FA163" s="91"/>
      <c r="FB163" s="91"/>
      <c r="FC163" s="91"/>
      <c r="FD163" s="91"/>
      <c r="FE163" s="91"/>
      <c r="FF163" s="91"/>
      <c r="FG163" s="91"/>
      <c r="FH163" s="91"/>
      <c r="FI163" s="91"/>
      <c r="FJ163" s="91"/>
      <c r="FK163" s="91"/>
      <c r="FL163" s="91"/>
      <c r="FM163" s="91"/>
      <c r="FN163" s="91"/>
      <c r="FO163" s="91"/>
      <c r="FP163" s="91"/>
      <c r="FQ163" s="91"/>
      <c r="FR163" s="91"/>
      <c r="FS163" s="91"/>
      <c r="FT163" s="91"/>
      <c r="FU163" s="91"/>
      <c r="FV163" s="91"/>
      <c r="FW163" s="91"/>
      <c r="FX163" s="91"/>
      <c r="FY163" s="91"/>
      <c r="FZ163" s="91"/>
      <c r="GA163" s="91"/>
      <c r="GB163" s="91"/>
      <c r="GC163" s="91"/>
      <c r="GD163" s="91"/>
      <c r="GE163" s="91"/>
      <c r="GF163" s="91"/>
      <c r="GG163" s="91"/>
      <c r="GH163" s="91"/>
      <c r="GI163" s="91"/>
      <c r="GJ163" s="91"/>
      <c r="GK163" s="91"/>
      <c r="GL163" s="91"/>
      <c r="GM163" s="91"/>
      <c r="GN163" s="91"/>
      <c r="GO163" s="91"/>
      <c r="GP163" s="91"/>
      <c r="GQ163" s="91"/>
      <c r="GR163" s="91"/>
      <c r="GS163" s="91"/>
      <c r="GT163" s="91"/>
      <c r="GU163" s="91"/>
      <c r="GV163" s="91"/>
      <c r="GW163" s="91"/>
      <c r="GX163" s="91"/>
      <c r="GY163" s="91"/>
      <c r="GZ163" s="91"/>
      <c r="HA163" s="91"/>
      <c r="HB163" s="91"/>
      <c r="HC163" s="91"/>
      <c r="HD163" s="91"/>
      <c r="HE163" s="91"/>
      <c r="HF163" s="91"/>
      <c r="HG163" s="91"/>
      <c r="HH163" s="91"/>
      <c r="HI163" s="91"/>
      <c r="HJ163" s="91"/>
      <c r="HK163" s="91"/>
      <c r="HL163" s="91"/>
      <c r="HM163" s="91"/>
      <c r="HN163" s="91"/>
      <c r="HO163" s="91"/>
      <c r="HP163" s="91"/>
      <c r="HQ163" s="91"/>
      <c r="HR163" s="91"/>
      <c r="HS163" s="91"/>
      <c r="HT163" s="91"/>
      <c r="HU163" s="91"/>
      <c r="HV163" s="91"/>
      <c r="HW163" s="91"/>
      <c r="HX163" s="91"/>
      <c r="HY163" s="91"/>
      <c r="HZ163" s="91"/>
      <c r="IA163" s="91"/>
      <c r="IB163" s="91"/>
      <c r="IC163" s="91"/>
      <c r="ID163" s="91"/>
      <c r="IE163" s="91"/>
      <c r="IF163" s="91"/>
      <c r="IG163" s="91"/>
      <c r="IH163" s="91"/>
      <c r="II163" s="91"/>
      <c r="IJ163" s="91"/>
      <c r="IK163" s="91"/>
      <c r="IL163" s="91"/>
      <c r="IM163" s="91"/>
      <c r="IN163" s="91"/>
      <c r="IO163" s="91"/>
      <c r="IP163" s="91"/>
      <c r="IQ163" s="91"/>
      <c r="IR163" s="91"/>
      <c r="IS163" s="91"/>
      <c r="IT163" s="91"/>
      <c r="IU163" s="91"/>
      <c r="IV163" s="91"/>
    </row>
    <row r="164" s="92" customFormat="1" ht="20.1" customHeight="1" spans="1:256">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1"/>
      <c r="BB164" s="91"/>
      <c r="BC164" s="91"/>
      <c r="BD164" s="91"/>
      <c r="BE164" s="91"/>
      <c r="BF164" s="91"/>
      <c r="BG164" s="91"/>
      <c r="BH164" s="91"/>
      <c r="BI164" s="91"/>
      <c r="BJ164" s="91"/>
      <c r="BK164" s="91"/>
      <c r="BL164" s="91"/>
      <c r="BM164" s="91"/>
      <c r="BN164" s="91"/>
      <c r="BO164" s="91"/>
      <c r="BP164" s="91"/>
      <c r="BQ164" s="91"/>
      <c r="BR164" s="91"/>
      <c r="BS164" s="91"/>
      <c r="BT164" s="91"/>
      <c r="BU164" s="91"/>
      <c r="BV164" s="91"/>
      <c r="BW164" s="91"/>
      <c r="BX164" s="91"/>
      <c r="BY164" s="91"/>
      <c r="BZ164" s="91"/>
      <c r="CA164" s="91"/>
      <c r="CB164" s="91"/>
      <c r="CC164" s="91"/>
      <c r="CD164" s="91"/>
      <c r="CE164" s="91"/>
      <c r="CF164" s="91"/>
      <c r="CG164" s="91"/>
      <c r="CH164" s="91"/>
      <c r="CI164" s="91"/>
      <c r="CJ164" s="91"/>
      <c r="CK164" s="91"/>
      <c r="CL164" s="91"/>
      <c r="CM164" s="91"/>
      <c r="CN164" s="91"/>
      <c r="CO164" s="91"/>
      <c r="CP164" s="91"/>
      <c r="CQ164" s="91"/>
      <c r="CR164" s="91"/>
      <c r="CS164" s="91"/>
      <c r="CT164" s="91"/>
      <c r="CU164" s="91"/>
      <c r="CV164" s="91"/>
      <c r="CW164" s="91"/>
      <c r="CX164" s="91"/>
      <c r="CY164" s="91"/>
      <c r="CZ164" s="91"/>
      <c r="DA164" s="91"/>
      <c r="DB164" s="91"/>
      <c r="DC164" s="91"/>
      <c r="DD164" s="91"/>
      <c r="DE164" s="91"/>
      <c r="DF164" s="91"/>
      <c r="DG164" s="91"/>
      <c r="DH164" s="91"/>
      <c r="DI164" s="91"/>
      <c r="DJ164" s="91"/>
      <c r="DK164" s="91"/>
      <c r="DL164" s="91"/>
      <c r="DM164" s="91"/>
      <c r="DN164" s="91"/>
      <c r="DO164" s="91"/>
      <c r="DP164" s="91"/>
      <c r="DQ164" s="91"/>
      <c r="DR164" s="91"/>
      <c r="DS164" s="91"/>
      <c r="DT164" s="91"/>
      <c r="DU164" s="91"/>
      <c r="DV164" s="91"/>
      <c r="DW164" s="91"/>
      <c r="DX164" s="91"/>
      <c r="DY164" s="91"/>
      <c r="DZ164" s="91"/>
      <c r="EA164" s="91"/>
      <c r="EB164" s="91"/>
      <c r="EC164" s="91"/>
      <c r="ED164" s="91"/>
      <c r="EE164" s="91"/>
      <c r="EF164" s="91"/>
      <c r="EG164" s="91"/>
      <c r="EH164" s="91"/>
      <c r="EI164" s="91"/>
      <c r="EJ164" s="91"/>
      <c r="EK164" s="91"/>
      <c r="EL164" s="91"/>
      <c r="EM164" s="91"/>
      <c r="EN164" s="91"/>
      <c r="EO164" s="91"/>
      <c r="EP164" s="91"/>
      <c r="EQ164" s="91"/>
      <c r="ER164" s="91"/>
      <c r="ES164" s="91"/>
      <c r="ET164" s="91"/>
      <c r="EU164" s="91"/>
      <c r="EV164" s="91"/>
      <c r="EW164" s="91"/>
      <c r="EX164" s="91"/>
      <c r="EY164" s="91"/>
      <c r="EZ164" s="91"/>
      <c r="FA164" s="91"/>
      <c r="FB164" s="91"/>
      <c r="FC164" s="91"/>
      <c r="FD164" s="91"/>
      <c r="FE164" s="91"/>
      <c r="FF164" s="91"/>
      <c r="FG164" s="91"/>
      <c r="FH164" s="91"/>
      <c r="FI164" s="91"/>
      <c r="FJ164" s="91"/>
      <c r="FK164" s="91"/>
      <c r="FL164" s="91"/>
      <c r="FM164" s="91"/>
      <c r="FN164" s="91"/>
      <c r="FO164" s="91"/>
      <c r="FP164" s="91"/>
      <c r="FQ164" s="91"/>
      <c r="FR164" s="91"/>
      <c r="FS164" s="91"/>
      <c r="FT164" s="91"/>
      <c r="FU164" s="91"/>
      <c r="FV164" s="91"/>
      <c r="FW164" s="91"/>
      <c r="FX164" s="91"/>
      <c r="FY164" s="91"/>
      <c r="FZ164" s="91"/>
      <c r="GA164" s="91"/>
      <c r="GB164" s="91"/>
      <c r="GC164" s="91"/>
      <c r="GD164" s="91"/>
      <c r="GE164" s="91"/>
      <c r="GF164" s="91"/>
      <c r="GG164" s="91"/>
      <c r="GH164" s="91"/>
      <c r="GI164" s="91"/>
      <c r="GJ164" s="91"/>
      <c r="GK164" s="91"/>
      <c r="GL164" s="91"/>
      <c r="GM164" s="91"/>
      <c r="GN164" s="91"/>
      <c r="GO164" s="91"/>
      <c r="GP164" s="91"/>
      <c r="GQ164" s="91"/>
      <c r="GR164" s="91"/>
      <c r="GS164" s="91"/>
      <c r="GT164" s="91"/>
      <c r="GU164" s="91"/>
      <c r="GV164" s="91"/>
      <c r="GW164" s="91"/>
      <c r="GX164" s="91"/>
      <c r="GY164" s="91"/>
      <c r="GZ164" s="91"/>
      <c r="HA164" s="91"/>
      <c r="HB164" s="91"/>
      <c r="HC164" s="91"/>
      <c r="HD164" s="91"/>
      <c r="HE164" s="91"/>
      <c r="HF164" s="91"/>
      <c r="HG164" s="91"/>
      <c r="HH164" s="91"/>
      <c r="HI164" s="91"/>
      <c r="HJ164" s="91"/>
      <c r="HK164" s="91"/>
      <c r="HL164" s="91"/>
      <c r="HM164" s="91"/>
      <c r="HN164" s="91"/>
      <c r="HO164" s="91"/>
      <c r="HP164" s="91"/>
      <c r="HQ164" s="91"/>
      <c r="HR164" s="91"/>
      <c r="HS164" s="91"/>
      <c r="HT164" s="91"/>
      <c r="HU164" s="91"/>
      <c r="HV164" s="91"/>
      <c r="HW164" s="91"/>
      <c r="HX164" s="91"/>
      <c r="HY164" s="91"/>
      <c r="HZ164" s="91"/>
      <c r="IA164" s="91"/>
      <c r="IB164" s="91"/>
      <c r="IC164" s="91"/>
      <c r="ID164" s="91"/>
      <c r="IE164" s="91"/>
      <c r="IF164" s="91"/>
      <c r="IG164" s="91"/>
      <c r="IH164" s="91"/>
      <c r="II164" s="91"/>
      <c r="IJ164" s="91"/>
      <c r="IK164" s="91"/>
      <c r="IL164" s="91"/>
      <c r="IM164" s="91"/>
      <c r="IN164" s="91"/>
      <c r="IO164" s="91"/>
      <c r="IP164" s="91"/>
      <c r="IQ164" s="91"/>
      <c r="IR164" s="91"/>
      <c r="IS164" s="91"/>
      <c r="IT164" s="91"/>
      <c r="IU164" s="91"/>
      <c r="IV164" s="91"/>
    </row>
    <row r="165" s="92" customFormat="1" ht="20.1" customHeight="1" spans="1:256">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c r="BE165" s="91"/>
      <c r="BF165" s="91"/>
      <c r="BG165" s="91"/>
      <c r="BH165" s="91"/>
      <c r="BI165" s="91"/>
      <c r="BJ165" s="91"/>
      <c r="BK165" s="91"/>
      <c r="BL165" s="91"/>
      <c r="BM165" s="91"/>
      <c r="BN165" s="91"/>
      <c r="BO165" s="91"/>
      <c r="BP165" s="91"/>
      <c r="BQ165" s="91"/>
      <c r="BR165" s="91"/>
      <c r="BS165" s="91"/>
      <c r="BT165" s="91"/>
      <c r="BU165" s="91"/>
      <c r="BV165" s="91"/>
      <c r="BW165" s="91"/>
      <c r="BX165" s="91"/>
      <c r="BY165" s="91"/>
      <c r="BZ165" s="91"/>
      <c r="CA165" s="91"/>
      <c r="CB165" s="91"/>
      <c r="CC165" s="91"/>
      <c r="CD165" s="91"/>
      <c r="CE165" s="91"/>
      <c r="CF165" s="91"/>
      <c r="CG165" s="91"/>
      <c r="CH165" s="91"/>
      <c r="CI165" s="91"/>
      <c r="CJ165" s="91"/>
      <c r="CK165" s="91"/>
      <c r="CL165" s="91"/>
      <c r="CM165" s="91"/>
      <c r="CN165" s="91"/>
      <c r="CO165" s="91"/>
      <c r="CP165" s="91"/>
      <c r="CQ165" s="91"/>
      <c r="CR165" s="91"/>
      <c r="CS165" s="91"/>
      <c r="CT165" s="91"/>
      <c r="CU165" s="91"/>
      <c r="CV165" s="91"/>
      <c r="CW165" s="91"/>
      <c r="CX165" s="91"/>
      <c r="CY165" s="91"/>
      <c r="CZ165" s="91"/>
      <c r="DA165" s="91"/>
      <c r="DB165" s="91"/>
      <c r="DC165" s="91"/>
      <c r="DD165" s="91"/>
      <c r="DE165" s="91"/>
      <c r="DF165" s="91"/>
      <c r="DG165" s="91"/>
      <c r="DH165" s="91"/>
      <c r="DI165" s="91"/>
      <c r="DJ165" s="91"/>
      <c r="DK165" s="91"/>
      <c r="DL165" s="91"/>
      <c r="DM165" s="91"/>
      <c r="DN165" s="91"/>
      <c r="DO165" s="91"/>
      <c r="DP165" s="91"/>
      <c r="DQ165" s="91"/>
      <c r="DR165" s="91"/>
      <c r="DS165" s="91"/>
      <c r="DT165" s="91"/>
      <c r="DU165" s="91"/>
      <c r="DV165" s="91"/>
      <c r="DW165" s="91"/>
      <c r="DX165" s="91"/>
      <c r="DY165" s="91"/>
      <c r="DZ165" s="91"/>
      <c r="EA165" s="91"/>
      <c r="EB165" s="91"/>
      <c r="EC165" s="91"/>
      <c r="ED165" s="91"/>
      <c r="EE165" s="91"/>
      <c r="EF165" s="91"/>
      <c r="EG165" s="91"/>
      <c r="EH165" s="91"/>
      <c r="EI165" s="91"/>
      <c r="EJ165" s="91"/>
      <c r="EK165" s="91"/>
      <c r="EL165" s="91"/>
      <c r="EM165" s="91"/>
      <c r="EN165" s="91"/>
      <c r="EO165" s="91"/>
      <c r="EP165" s="91"/>
      <c r="EQ165" s="91"/>
      <c r="ER165" s="91"/>
      <c r="ES165" s="91"/>
      <c r="ET165" s="91"/>
      <c r="EU165" s="91"/>
      <c r="EV165" s="91"/>
      <c r="EW165" s="91"/>
      <c r="EX165" s="91"/>
      <c r="EY165" s="91"/>
      <c r="EZ165" s="91"/>
      <c r="FA165" s="91"/>
      <c r="FB165" s="91"/>
      <c r="FC165" s="91"/>
      <c r="FD165" s="91"/>
      <c r="FE165" s="91"/>
      <c r="FF165" s="91"/>
      <c r="FG165" s="91"/>
      <c r="FH165" s="91"/>
      <c r="FI165" s="91"/>
      <c r="FJ165" s="91"/>
      <c r="FK165" s="91"/>
      <c r="FL165" s="91"/>
      <c r="FM165" s="91"/>
      <c r="FN165" s="91"/>
      <c r="FO165" s="91"/>
      <c r="FP165" s="91"/>
      <c r="FQ165" s="91"/>
      <c r="FR165" s="91"/>
      <c r="FS165" s="91"/>
      <c r="FT165" s="91"/>
      <c r="FU165" s="91"/>
      <c r="FV165" s="91"/>
      <c r="FW165" s="91"/>
      <c r="FX165" s="91"/>
      <c r="FY165" s="91"/>
      <c r="FZ165" s="91"/>
      <c r="GA165" s="91"/>
      <c r="GB165" s="91"/>
      <c r="GC165" s="91"/>
      <c r="GD165" s="91"/>
      <c r="GE165" s="91"/>
      <c r="GF165" s="91"/>
      <c r="GG165" s="91"/>
      <c r="GH165" s="91"/>
      <c r="GI165" s="91"/>
      <c r="GJ165" s="91"/>
      <c r="GK165" s="91"/>
      <c r="GL165" s="91"/>
      <c r="GM165" s="91"/>
      <c r="GN165" s="91"/>
      <c r="GO165" s="91"/>
      <c r="GP165" s="91"/>
      <c r="GQ165" s="91"/>
      <c r="GR165" s="91"/>
      <c r="GS165" s="91"/>
      <c r="GT165" s="91"/>
      <c r="GU165" s="91"/>
      <c r="GV165" s="91"/>
      <c r="GW165" s="91"/>
      <c r="GX165" s="91"/>
      <c r="GY165" s="91"/>
      <c r="GZ165" s="91"/>
      <c r="HA165" s="91"/>
      <c r="HB165" s="91"/>
      <c r="HC165" s="91"/>
      <c r="HD165" s="91"/>
      <c r="HE165" s="91"/>
      <c r="HF165" s="91"/>
      <c r="HG165" s="91"/>
      <c r="HH165" s="91"/>
      <c r="HI165" s="91"/>
      <c r="HJ165" s="91"/>
      <c r="HK165" s="91"/>
      <c r="HL165" s="91"/>
      <c r="HM165" s="91"/>
      <c r="HN165" s="91"/>
      <c r="HO165" s="91"/>
      <c r="HP165" s="91"/>
      <c r="HQ165" s="91"/>
      <c r="HR165" s="91"/>
      <c r="HS165" s="91"/>
      <c r="HT165" s="91"/>
      <c r="HU165" s="91"/>
      <c r="HV165" s="91"/>
      <c r="HW165" s="91"/>
      <c r="HX165" s="91"/>
      <c r="HY165" s="91"/>
      <c r="HZ165" s="91"/>
      <c r="IA165" s="91"/>
      <c r="IB165" s="91"/>
      <c r="IC165" s="91"/>
      <c r="ID165" s="91"/>
      <c r="IE165" s="91"/>
      <c r="IF165" s="91"/>
      <c r="IG165" s="91"/>
      <c r="IH165" s="91"/>
      <c r="II165" s="91"/>
      <c r="IJ165" s="91"/>
      <c r="IK165" s="91"/>
      <c r="IL165" s="91"/>
      <c r="IM165" s="91"/>
      <c r="IN165" s="91"/>
      <c r="IO165" s="91"/>
      <c r="IP165" s="91"/>
      <c r="IQ165" s="91"/>
      <c r="IR165" s="91"/>
      <c r="IS165" s="91"/>
      <c r="IT165" s="91"/>
      <c r="IU165" s="91"/>
      <c r="IV165" s="91"/>
    </row>
    <row r="166" s="92" customFormat="1" ht="20.1" customHeight="1" spans="1:256">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91"/>
      <c r="BI166" s="91"/>
      <c r="BJ166" s="91"/>
      <c r="BK166" s="91"/>
      <c r="BL166" s="91"/>
      <c r="BM166" s="91"/>
      <c r="BN166" s="91"/>
      <c r="BO166" s="91"/>
      <c r="BP166" s="91"/>
      <c r="BQ166" s="91"/>
      <c r="BR166" s="91"/>
      <c r="BS166" s="91"/>
      <c r="BT166" s="91"/>
      <c r="BU166" s="91"/>
      <c r="BV166" s="91"/>
      <c r="BW166" s="91"/>
      <c r="BX166" s="91"/>
      <c r="BY166" s="91"/>
      <c r="BZ166" s="91"/>
      <c r="CA166" s="91"/>
      <c r="CB166" s="91"/>
      <c r="CC166" s="91"/>
      <c r="CD166" s="91"/>
      <c r="CE166" s="91"/>
      <c r="CF166" s="91"/>
      <c r="CG166" s="91"/>
      <c r="CH166" s="91"/>
      <c r="CI166" s="91"/>
      <c r="CJ166" s="91"/>
      <c r="CK166" s="91"/>
      <c r="CL166" s="91"/>
      <c r="CM166" s="91"/>
      <c r="CN166" s="91"/>
      <c r="CO166" s="91"/>
      <c r="CP166" s="91"/>
      <c r="CQ166" s="91"/>
      <c r="CR166" s="91"/>
      <c r="CS166" s="91"/>
      <c r="CT166" s="91"/>
      <c r="CU166" s="91"/>
      <c r="CV166" s="91"/>
      <c r="CW166" s="91"/>
      <c r="CX166" s="91"/>
      <c r="CY166" s="91"/>
      <c r="CZ166" s="91"/>
      <c r="DA166" s="91"/>
      <c r="DB166" s="91"/>
      <c r="DC166" s="91"/>
      <c r="DD166" s="91"/>
      <c r="DE166" s="91"/>
      <c r="DF166" s="91"/>
      <c r="DG166" s="91"/>
      <c r="DH166" s="91"/>
      <c r="DI166" s="91"/>
      <c r="DJ166" s="91"/>
      <c r="DK166" s="91"/>
      <c r="DL166" s="91"/>
      <c r="DM166" s="91"/>
      <c r="DN166" s="91"/>
      <c r="DO166" s="91"/>
      <c r="DP166" s="91"/>
      <c r="DQ166" s="91"/>
      <c r="DR166" s="91"/>
      <c r="DS166" s="91"/>
      <c r="DT166" s="91"/>
      <c r="DU166" s="91"/>
      <c r="DV166" s="91"/>
      <c r="DW166" s="91"/>
      <c r="DX166" s="91"/>
      <c r="DY166" s="91"/>
      <c r="DZ166" s="91"/>
      <c r="EA166" s="91"/>
      <c r="EB166" s="91"/>
      <c r="EC166" s="91"/>
      <c r="ED166" s="91"/>
      <c r="EE166" s="91"/>
      <c r="EF166" s="91"/>
      <c r="EG166" s="91"/>
      <c r="EH166" s="91"/>
      <c r="EI166" s="91"/>
      <c r="EJ166" s="91"/>
      <c r="EK166" s="91"/>
      <c r="EL166" s="91"/>
      <c r="EM166" s="91"/>
      <c r="EN166" s="91"/>
      <c r="EO166" s="91"/>
      <c r="EP166" s="91"/>
      <c r="EQ166" s="91"/>
      <c r="ER166" s="91"/>
      <c r="ES166" s="91"/>
      <c r="ET166" s="91"/>
      <c r="EU166" s="91"/>
      <c r="EV166" s="91"/>
      <c r="EW166" s="91"/>
      <c r="EX166" s="91"/>
      <c r="EY166" s="91"/>
      <c r="EZ166" s="91"/>
      <c r="FA166" s="91"/>
      <c r="FB166" s="91"/>
      <c r="FC166" s="91"/>
      <c r="FD166" s="91"/>
      <c r="FE166" s="91"/>
      <c r="FF166" s="91"/>
      <c r="FG166" s="91"/>
      <c r="FH166" s="91"/>
      <c r="FI166" s="91"/>
      <c r="FJ166" s="91"/>
      <c r="FK166" s="91"/>
      <c r="FL166" s="91"/>
      <c r="FM166" s="91"/>
      <c r="FN166" s="91"/>
      <c r="FO166" s="91"/>
      <c r="FP166" s="91"/>
      <c r="FQ166" s="91"/>
      <c r="FR166" s="91"/>
      <c r="FS166" s="91"/>
      <c r="FT166" s="91"/>
      <c r="FU166" s="91"/>
      <c r="FV166" s="91"/>
      <c r="FW166" s="91"/>
      <c r="FX166" s="91"/>
      <c r="FY166" s="91"/>
      <c r="FZ166" s="91"/>
      <c r="GA166" s="91"/>
      <c r="GB166" s="91"/>
      <c r="GC166" s="91"/>
      <c r="GD166" s="91"/>
      <c r="GE166" s="91"/>
      <c r="GF166" s="91"/>
      <c r="GG166" s="91"/>
      <c r="GH166" s="91"/>
      <c r="GI166" s="91"/>
      <c r="GJ166" s="91"/>
      <c r="GK166" s="91"/>
      <c r="GL166" s="91"/>
      <c r="GM166" s="91"/>
      <c r="GN166" s="91"/>
      <c r="GO166" s="91"/>
      <c r="GP166" s="91"/>
      <c r="GQ166" s="91"/>
      <c r="GR166" s="91"/>
      <c r="GS166" s="91"/>
      <c r="GT166" s="91"/>
      <c r="GU166" s="91"/>
      <c r="GV166" s="91"/>
      <c r="GW166" s="91"/>
      <c r="GX166" s="91"/>
      <c r="GY166" s="91"/>
      <c r="GZ166" s="91"/>
      <c r="HA166" s="91"/>
      <c r="HB166" s="91"/>
      <c r="HC166" s="91"/>
      <c r="HD166" s="91"/>
      <c r="HE166" s="91"/>
      <c r="HF166" s="91"/>
      <c r="HG166" s="91"/>
      <c r="HH166" s="91"/>
      <c r="HI166" s="91"/>
      <c r="HJ166" s="91"/>
      <c r="HK166" s="91"/>
      <c r="HL166" s="91"/>
      <c r="HM166" s="91"/>
      <c r="HN166" s="91"/>
      <c r="HO166" s="91"/>
      <c r="HP166" s="91"/>
      <c r="HQ166" s="91"/>
      <c r="HR166" s="91"/>
      <c r="HS166" s="91"/>
      <c r="HT166" s="91"/>
      <c r="HU166" s="91"/>
      <c r="HV166" s="91"/>
      <c r="HW166" s="91"/>
      <c r="HX166" s="91"/>
      <c r="HY166" s="91"/>
      <c r="HZ166" s="91"/>
      <c r="IA166" s="91"/>
      <c r="IB166" s="91"/>
      <c r="IC166" s="91"/>
      <c r="ID166" s="91"/>
      <c r="IE166" s="91"/>
      <c r="IF166" s="91"/>
      <c r="IG166" s="91"/>
      <c r="IH166" s="91"/>
      <c r="II166" s="91"/>
      <c r="IJ166" s="91"/>
      <c r="IK166" s="91"/>
      <c r="IL166" s="91"/>
      <c r="IM166" s="91"/>
      <c r="IN166" s="91"/>
      <c r="IO166" s="91"/>
      <c r="IP166" s="91"/>
      <c r="IQ166" s="91"/>
      <c r="IR166" s="91"/>
      <c r="IS166" s="91"/>
      <c r="IT166" s="91"/>
      <c r="IU166" s="91"/>
      <c r="IV166" s="91"/>
    </row>
    <row r="167" s="92" customFormat="1" ht="20.1" customHeight="1" spans="1:256">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c r="BI167" s="91"/>
      <c r="BJ167" s="91"/>
      <c r="BK167" s="91"/>
      <c r="BL167" s="91"/>
      <c r="BM167" s="91"/>
      <c r="BN167" s="91"/>
      <c r="BO167" s="91"/>
      <c r="BP167" s="91"/>
      <c r="BQ167" s="91"/>
      <c r="BR167" s="91"/>
      <c r="BS167" s="91"/>
      <c r="BT167" s="91"/>
      <c r="BU167" s="91"/>
      <c r="BV167" s="91"/>
      <c r="BW167" s="91"/>
      <c r="BX167" s="91"/>
      <c r="BY167" s="91"/>
      <c r="BZ167" s="91"/>
      <c r="CA167" s="91"/>
      <c r="CB167" s="91"/>
      <c r="CC167" s="91"/>
      <c r="CD167" s="91"/>
      <c r="CE167" s="91"/>
      <c r="CF167" s="91"/>
      <c r="CG167" s="91"/>
      <c r="CH167" s="91"/>
      <c r="CI167" s="91"/>
      <c r="CJ167" s="91"/>
      <c r="CK167" s="91"/>
      <c r="CL167" s="91"/>
      <c r="CM167" s="91"/>
      <c r="CN167" s="91"/>
      <c r="CO167" s="91"/>
      <c r="CP167" s="91"/>
      <c r="CQ167" s="91"/>
      <c r="CR167" s="91"/>
      <c r="CS167" s="91"/>
      <c r="CT167" s="91"/>
      <c r="CU167" s="91"/>
      <c r="CV167" s="91"/>
      <c r="CW167" s="91"/>
      <c r="CX167" s="91"/>
      <c r="CY167" s="91"/>
      <c r="CZ167" s="91"/>
      <c r="DA167" s="91"/>
      <c r="DB167" s="91"/>
      <c r="DC167" s="91"/>
      <c r="DD167" s="91"/>
      <c r="DE167" s="91"/>
      <c r="DF167" s="91"/>
      <c r="DG167" s="91"/>
      <c r="DH167" s="91"/>
      <c r="DI167" s="91"/>
      <c r="DJ167" s="91"/>
      <c r="DK167" s="91"/>
      <c r="DL167" s="91"/>
      <c r="DM167" s="91"/>
      <c r="DN167" s="91"/>
      <c r="DO167" s="91"/>
      <c r="DP167" s="91"/>
      <c r="DQ167" s="91"/>
      <c r="DR167" s="91"/>
      <c r="DS167" s="91"/>
      <c r="DT167" s="91"/>
      <c r="DU167" s="91"/>
      <c r="DV167" s="91"/>
      <c r="DW167" s="91"/>
      <c r="DX167" s="91"/>
      <c r="DY167" s="91"/>
      <c r="DZ167" s="91"/>
      <c r="EA167" s="91"/>
      <c r="EB167" s="91"/>
      <c r="EC167" s="91"/>
      <c r="ED167" s="91"/>
      <c r="EE167" s="91"/>
      <c r="EF167" s="91"/>
      <c r="EG167" s="91"/>
      <c r="EH167" s="91"/>
      <c r="EI167" s="91"/>
      <c r="EJ167" s="91"/>
      <c r="EK167" s="91"/>
      <c r="EL167" s="91"/>
      <c r="EM167" s="91"/>
      <c r="EN167" s="91"/>
      <c r="EO167" s="91"/>
      <c r="EP167" s="91"/>
      <c r="EQ167" s="91"/>
      <c r="ER167" s="91"/>
      <c r="ES167" s="91"/>
      <c r="ET167" s="91"/>
      <c r="EU167" s="91"/>
      <c r="EV167" s="91"/>
      <c r="EW167" s="91"/>
      <c r="EX167" s="91"/>
      <c r="EY167" s="91"/>
      <c r="EZ167" s="91"/>
      <c r="FA167" s="91"/>
      <c r="FB167" s="91"/>
      <c r="FC167" s="91"/>
      <c r="FD167" s="91"/>
      <c r="FE167" s="91"/>
      <c r="FF167" s="91"/>
      <c r="FG167" s="91"/>
      <c r="FH167" s="91"/>
      <c r="FI167" s="91"/>
      <c r="FJ167" s="91"/>
      <c r="FK167" s="91"/>
      <c r="FL167" s="91"/>
      <c r="FM167" s="91"/>
      <c r="FN167" s="91"/>
      <c r="FO167" s="91"/>
      <c r="FP167" s="91"/>
      <c r="FQ167" s="91"/>
      <c r="FR167" s="91"/>
      <c r="FS167" s="91"/>
      <c r="FT167" s="91"/>
      <c r="FU167" s="91"/>
      <c r="FV167" s="91"/>
      <c r="FW167" s="91"/>
      <c r="FX167" s="91"/>
      <c r="FY167" s="91"/>
      <c r="FZ167" s="91"/>
      <c r="GA167" s="91"/>
      <c r="GB167" s="91"/>
      <c r="GC167" s="91"/>
      <c r="GD167" s="91"/>
      <c r="GE167" s="91"/>
      <c r="GF167" s="91"/>
      <c r="GG167" s="91"/>
      <c r="GH167" s="91"/>
      <c r="GI167" s="91"/>
      <c r="GJ167" s="91"/>
      <c r="GK167" s="91"/>
      <c r="GL167" s="91"/>
      <c r="GM167" s="91"/>
      <c r="GN167" s="91"/>
      <c r="GO167" s="91"/>
      <c r="GP167" s="91"/>
      <c r="GQ167" s="91"/>
      <c r="GR167" s="91"/>
      <c r="GS167" s="91"/>
      <c r="GT167" s="91"/>
      <c r="GU167" s="91"/>
      <c r="GV167" s="91"/>
      <c r="GW167" s="91"/>
      <c r="GX167" s="91"/>
      <c r="GY167" s="91"/>
      <c r="GZ167" s="91"/>
      <c r="HA167" s="91"/>
      <c r="HB167" s="91"/>
      <c r="HC167" s="91"/>
      <c r="HD167" s="91"/>
      <c r="HE167" s="91"/>
      <c r="HF167" s="91"/>
      <c r="HG167" s="91"/>
      <c r="HH167" s="91"/>
      <c r="HI167" s="91"/>
      <c r="HJ167" s="91"/>
      <c r="HK167" s="91"/>
      <c r="HL167" s="91"/>
      <c r="HM167" s="91"/>
      <c r="HN167" s="91"/>
      <c r="HO167" s="91"/>
      <c r="HP167" s="91"/>
      <c r="HQ167" s="91"/>
      <c r="HR167" s="91"/>
      <c r="HS167" s="91"/>
      <c r="HT167" s="91"/>
      <c r="HU167" s="91"/>
      <c r="HV167" s="91"/>
      <c r="HW167" s="91"/>
      <c r="HX167" s="91"/>
      <c r="HY167" s="91"/>
      <c r="HZ167" s="91"/>
      <c r="IA167" s="91"/>
      <c r="IB167" s="91"/>
      <c r="IC167" s="91"/>
      <c r="ID167" s="91"/>
      <c r="IE167" s="91"/>
      <c r="IF167" s="91"/>
      <c r="IG167" s="91"/>
      <c r="IH167" s="91"/>
      <c r="II167" s="91"/>
      <c r="IJ167" s="91"/>
      <c r="IK167" s="91"/>
      <c r="IL167" s="91"/>
      <c r="IM167" s="91"/>
      <c r="IN167" s="91"/>
      <c r="IO167" s="91"/>
      <c r="IP167" s="91"/>
      <c r="IQ167" s="91"/>
      <c r="IR167" s="91"/>
      <c r="IS167" s="91"/>
      <c r="IT167" s="91"/>
      <c r="IU167" s="91"/>
      <c r="IV167" s="91"/>
    </row>
    <row r="168" s="92" customFormat="1" ht="20.1" customHeight="1" spans="1:256">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c r="BE168" s="91"/>
      <c r="BF168" s="91"/>
      <c r="BG168" s="91"/>
      <c r="BH168" s="91"/>
      <c r="BI168" s="91"/>
      <c r="BJ168" s="91"/>
      <c r="BK168" s="91"/>
      <c r="BL168" s="91"/>
      <c r="BM168" s="91"/>
      <c r="BN168" s="91"/>
      <c r="BO168" s="91"/>
      <c r="BP168" s="91"/>
      <c r="BQ168" s="91"/>
      <c r="BR168" s="91"/>
      <c r="BS168" s="91"/>
      <c r="BT168" s="91"/>
      <c r="BU168" s="91"/>
      <c r="BV168" s="91"/>
      <c r="BW168" s="91"/>
      <c r="BX168" s="91"/>
      <c r="BY168" s="91"/>
      <c r="BZ168" s="91"/>
      <c r="CA168" s="91"/>
      <c r="CB168" s="91"/>
      <c r="CC168" s="91"/>
      <c r="CD168" s="91"/>
      <c r="CE168" s="91"/>
      <c r="CF168" s="91"/>
      <c r="CG168" s="91"/>
      <c r="CH168" s="91"/>
      <c r="CI168" s="91"/>
      <c r="CJ168" s="91"/>
      <c r="CK168" s="91"/>
      <c r="CL168" s="91"/>
      <c r="CM168" s="91"/>
      <c r="CN168" s="91"/>
      <c r="CO168" s="91"/>
      <c r="CP168" s="91"/>
      <c r="CQ168" s="91"/>
      <c r="CR168" s="91"/>
      <c r="CS168" s="91"/>
      <c r="CT168" s="91"/>
      <c r="CU168" s="91"/>
      <c r="CV168" s="91"/>
      <c r="CW168" s="91"/>
      <c r="CX168" s="91"/>
      <c r="CY168" s="91"/>
      <c r="CZ168" s="91"/>
      <c r="DA168" s="91"/>
      <c r="DB168" s="91"/>
      <c r="DC168" s="91"/>
      <c r="DD168" s="91"/>
      <c r="DE168" s="91"/>
      <c r="DF168" s="91"/>
      <c r="DG168" s="91"/>
      <c r="DH168" s="91"/>
      <c r="DI168" s="91"/>
      <c r="DJ168" s="91"/>
      <c r="DK168" s="91"/>
      <c r="DL168" s="91"/>
      <c r="DM168" s="91"/>
      <c r="DN168" s="91"/>
      <c r="DO168" s="91"/>
      <c r="DP168" s="91"/>
      <c r="DQ168" s="91"/>
      <c r="DR168" s="91"/>
      <c r="DS168" s="91"/>
      <c r="DT168" s="91"/>
      <c r="DU168" s="91"/>
      <c r="DV168" s="91"/>
      <c r="DW168" s="91"/>
      <c r="DX168" s="91"/>
      <c r="DY168" s="91"/>
      <c r="DZ168" s="91"/>
      <c r="EA168" s="91"/>
      <c r="EB168" s="91"/>
      <c r="EC168" s="91"/>
      <c r="ED168" s="91"/>
      <c r="EE168" s="91"/>
      <c r="EF168" s="91"/>
      <c r="EG168" s="91"/>
      <c r="EH168" s="91"/>
      <c r="EI168" s="91"/>
      <c r="EJ168" s="91"/>
      <c r="EK168" s="91"/>
      <c r="EL168" s="91"/>
      <c r="EM168" s="91"/>
      <c r="EN168" s="91"/>
      <c r="EO168" s="91"/>
      <c r="EP168" s="91"/>
      <c r="EQ168" s="91"/>
      <c r="ER168" s="91"/>
      <c r="ES168" s="91"/>
      <c r="ET168" s="91"/>
      <c r="EU168" s="91"/>
      <c r="EV168" s="91"/>
      <c r="EW168" s="91"/>
      <c r="EX168" s="91"/>
      <c r="EY168" s="91"/>
      <c r="EZ168" s="91"/>
      <c r="FA168" s="91"/>
      <c r="FB168" s="91"/>
      <c r="FC168" s="91"/>
      <c r="FD168" s="91"/>
      <c r="FE168" s="91"/>
      <c r="FF168" s="91"/>
      <c r="FG168" s="91"/>
      <c r="FH168" s="91"/>
      <c r="FI168" s="91"/>
      <c r="FJ168" s="91"/>
      <c r="FK168" s="91"/>
      <c r="FL168" s="91"/>
      <c r="FM168" s="91"/>
      <c r="FN168" s="91"/>
      <c r="FO168" s="91"/>
      <c r="FP168" s="91"/>
      <c r="FQ168" s="91"/>
      <c r="FR168" s="91"/>
      <c r="FS168" s="91"/>
      <c r="FT168" s="91"/>
      <c r="FU168" s="91"/>
      <c r="FV168" s="91"/>
      <c r="FW168" s="91"/>
      <c r="FX168" s="91"/>
      <c r="FY168" s="91"/>
      <c r="FZ168" s="91"/>
      <c r="GA168" s="91"/>
      <c r="GB168" s="91"/>
      <c r="GC168" s="91"/>
      <c r="GD168" s="91"/>
      <c r="GE168" s="91"/>
      <c r="GF168" s="91"/>
      <c r="GG168" s="91"/>
      <c r="GH168" s="91"/>
      <c r="GI168" s="91"/>
      <c r="GJ168" s="91"/>
      <c r="GK168" s="91"/>
      <c r="GL168" s="91"/>
      <c r="GM168" s="91"/>
      <c r="GN168" s="91"/>
      <c r="GO168" s="91"/>
      <c r="GP168" s="91"/>
      <c r="GQ168" s="91"/>
      <c r="GR168" s="91"/>
      <c r="GS168" s="91"/>
      <c r="GT168" s="91"/>
      <c r="GU168" s="91"/>
      <c r="GV168" s="91"/>
      <c r="GW168" s="91"/>
      <c r="GX168" s="91"/>
      <c r="GY168" s="91"/>
      <c r="GZ168" s="91"/>
      <c r="HA168" s="91"/>
      <c r="HB168" s="91"/>
      <c r="HC168" s="91"/>
      <c r="HD168" s="91"/>
      <c r="HE168" s="91"/>
      <c r="HF168" s="91"/>
      <c r="HG168" s="91"/>
      <c r="HH168" s="91"/>
      <c r="HI168" s="91"/>
      <c r="HJ168" s="91"/>
      <c r="HK168" s="91"/>
      <c r="HL168" s="91"/>
      <c r="HM168" s="91"/>
      <c r="HN168" s="91"/>
      <c r="HO168" s="91"/>
      <c r="HP168" s="91"/>
      <c r="HQ168" s="91"/>
      <c r="HR168" s="91"/>
      <c r="HS168" s="91"/>
      <c r="HT168" s="91"/>
      <c r="HU168" s="91"/>
      <c r="HV168" s="91"/>
      <c r="HW168" s="91"/>
      <c r="HX168" s="91"/>
      <c r="HY168" s="91"/>
      <c r="HZ168" s="91"/>
      <c r="IA168" s="91"/>
      <c r="IB168" s="91"/>
      <c r="IC168" s="91"/>
      <c r="ID168" s="91"/>
      <c r="IE168" s="91"/>
      <c r="IF168" s="91"/>
      <c r="IG168" s="91"/>
      <c r="IH168" s="91"/>
      <c r="II168" s="91"/>
      <c r="IJ168" s="91"/>
      <c r="IK168" s="91"/>
      <c r="IL168" s="91"/>
      <c r="IM168" s="91"/>
      <c r="IN168" s="91"/>
      <c r="IO168" s="91"/>
      <c r="IP168" s="91"/>
      <c r="IQ168" s="91"/>
      <c r="IR168" s="91"/>
      <c r="IS168" s="91"/>
      <c r="IT168" s="91"/>
      <c r="IU168" s="91"/>
      <c r="IV168" s="91"/>
    </row>
    <row r="169" s="92" customFormat="1" ht="20.1" customHeight="1" spans="1:256">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91"/>
      <c r="BI169" s="91"/>
      <c r="BJ169" s="91"/>
      <c r="BK169" s="91"/>
      <c r="BL169" s="91"/>
      <c r="BM169" s="91"/>
      <c r="BN169" s="91"/>
      <c r="BO169" s="91"/>
      <c r="BP169" s="91"/>
      <c r="BQ169" s="91"/>
      <c r="BR169" s="91"/>
      <c r="BS169" s="91"/>
      <c r="BT169" s="91"/>
      <c r="BU169" s="91"/>
      <c r="BV169" s="91"/>
      <c r="BW169" s="91"/>
      <c r="BX169" s="91"/>
      <c r="BY169" s="91"/>
      <c r="BZ169" s="91"/>
      <c r="CA169" s="91"/>
      <c r="CB169" s="91"/>
      <c r="CC169" s="91"/>
      <c r="CD169" s="91"/>
      <c r="CE169" s="91"/>
      <c r="CF169" s="91"/>
      <c r="CG169" s="91"/>
      <c r="CH169" s="91"/>
      <c r="CI169" s="91"/>
      <c r="CJ169" s="91"/>
      <c r="CK169" s="91"/>
      <c r="CL169" s="91"/>
      <c r="CM169" s="91"/>
      <c r="CN169" s="91"/>
      <c r="CO169" s="91"/>
      <c r="CP169" s="91"/>
      <c r="CQ169" s="91"/>
      <c r="CR169" s="91"/>
      <c r="CS169" s="91"/>
      <c r="CT169" s="91"/>
      <c r="CU169" s="91"/>
      <c r="CV169" s="91"/>
      <c r="CW169" s="91"/>
      <c r="CX169" s="91"/>
      <c r="CY169" s="91"/>
      <c r="CZ169" s="91"/>
      <c r="DA169" s="91"/>
      <c r="DB169" s="91"/>
      <c r="DC169" s="91"/>
      <c r="DD169" s="91"/>
      <c r="DE169" s="91"/>
      <c r="DF169" s="91"/>
      <c r="DG169" s="91"/>
      <c r="DH169" s="91"/>
      <c r="DI169" s="91"/>
      <c r="DJ169" s="91"/>
      <c r="DK169" s="91"/>
      <c r="DL169" s="91"/>
      <c r="DM169" s="91"/>
      <c r="DN169" s="91"/>
      <c r="DO169" s="91"/>
      <c r="DP169" s="91"/>
      <c r="DQ169" s="91"/>
      <c r="DR169" s="91"/>
      <c r="DS169" s="91"/>
      <c r="DT169" s="91"/>
      <c r="DU169" s="91"/>
      <c r="DV169" s="91"/>
      <c r="DW169" s="91"/>
      <c r="DX169" s="91"/>
      <c r="DY169" s="91"/>
      <c r="DZ169" s="91"/>
      <c r="EA169" s="91"/>
      <c r="EB169" s="91"/>
      <c r="EC169" s="91"/>
      <c r="ED169" s="91"/>
      <c r="EE169" s="91"/>
      <c r="EF169" s="91"/>
      <c r="EG169" s="91"/>
      <c r="EH169" s="91"/>
      <c r="EI169" s="91"/>
      <c r="EJ169" s="91"/>
      <c r="EK169" s="91"/>
      <c r="EL169" s="91"/>
      <c r="EM169" s="91"/>
      <c r="EN169" s="91"/>
      <c r="EO169" s="91"/>
      <c r="EP169" s="91"/>
      <c r="EQ169" s="91"/>
      <c r="ER169" s="91"/>
      <c r="ES169" s="91"/>
      <c r="ET169" s="91"/>
      <c r="EU169" s="91"/>
      <c r="EV169" s="91"/>
      <c r="EW169" s="91"/>
      <c r="EX169" s="91"/>
      <c r="EY169" s="91"/>
      <c r="EZ169" s="91"/>
      <c r="FA169" s="91"/>
      <c r="FB169" s="91"/>
      <c r="FC169" s="91"/>
      <c r="FD169" s="91"/>
      <c r="FE169" s="91"/>
      <c r="FF169" s="91"/>
      <c r="FG169" s="91"/>
      <c r="FH169" s="91"/>
      <c r="FI169" s="91"/>
      <c r="FJ169" s="91"/>
      <c r="FK169" s="91"/>
      <c r="FL169" s="91"/>
      <c r="FM169" s="91"/>
      <c r="FN169" s="91"/>
      <c r="FO169" s="91"/>
      <c r="FP169" s="91"/>
      <c r="FQ169" s="91"/>
      <c r="FR169" s="91"/>
      <c r="FS169" s="91"/>
      <c r="FT169" s="91"/>
      <c r="FU169" s="91"/>
      <c r="FV169" s="91"/>
      <c r="FW169" s="91"/>
      <c r="FX169" s="91"/>
      <c r="FY169" s="91"/>
      <c r="FZ169" s="91"/>
      <c r="GA169" s="91"/>
      <c r="GB169" s="91"/>
      <c r="GC169" s="91"/>
      <c r="GD169" s="91"/>
      <c r="GE169" s="91"/>
      <c r="GF169" s="91"/>
      <c r="GG169" s="91"/>
      <c r="GH169" s="91"/>
      <c r="GI169" s="91"/>
      <c r="GJ169" s="91"/>
      <c r="GK169" s="91"/>
      <c r="GL169" s="91"/>
      <c r="GM169" s="91"/>
      <c r="GN169" s="91"/>
      <c r="GO169" s="91"/>
      <c r="GP169" s="91"/>
      <c r="GQ169" s="91"/>
      <c r="GR169" s="91"/>
      <c r="GS169" s="91"/>
      <c r="GT169" s="91"/>
      <c r="GU169" s="91"/>
      <c r="GV169" s="91"/>
      <c r="GW169" s="91"/>
      <c r="GX169" s="91"/>
      <c r="GY169" s="91"/>
      <c r="GZ169" s="91"/>
      <c r="HA169" s="91"/>
      <c r="HB169" s="91"/>
      <c r="HC169" s="91"/>
      <c r="HD169" s="91"/>
      <c r="HE169" s="91"/>
      <c r="HF169" s="91"/>
      <c r="HG169" s="91"/>
      <c r="HH169" s="91"/>
      <c r="HI169" s="91"/>
      <c r="HJ169" s="91"/>
      <c r="HK169" s="91"/>
      <c r="HL169" s="91"/>
      <c r="HM169" s="91"/>
      <c r="HN169" s="91"/>
      <c r="HO169" s="91"/>
      <c r="HP169" s="91"/>
      <c r="HQ169" s="91"/>
      <c r="HR169" s="91"/>
      <c r="HS169" s="91"/>
      <c r="HT169" s="91"/>
      <c r="HU169" s="91"/>
      <c r="HV169" s="91"/>
      <c r="HW169" s="91"/>
      <c r="HX169" s="91"/>
      <c r="HY169" s="91"/>
      <c r="HZ169" s="91"/>
      <c r="IA169" s="91"/>
      <c r="IB169" s="91"/>
      <c r="IC169" s="91"/>
      <c r="ID169" s="91"/>
      <c r="IE169" s="91"/>
      <c r="IF169" s="91"/>
      <c r="IG169" s="91"/>
      <c r="IH169" s="91"/>
      <c r="II169" s="91"/>
      <c r="IJ169" s="91"/>
      <c r="IK169" s="91"/>
      <c r="IL169" s="91"/>
      <c r="IM169" s="91"/>
      <c r="IN169" s="91"/>
      <c r="IO169" s="91"/>
      <c r="IP169" s="91"/>
      <c r="IQ169" s="91"/>
      <c r="IR169" s="91"/>
      <c r="IS169" s="91"/>
      <c r="IT169" s="91"/>
      <c r="IU169" s="91"/>
      <c r="IV169" s="91"/>
    </row>
    <row r="170" s="92" customFormat="1" ht="20.1" customHeight="1" spans="1:256">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c r="BE170" s="91"/>
      <c r="BF170" s="91"/>
      <c r="BG170" s="91"/>
      <c r="BH170" s="91"/>
      <c r="BI170" s="91"/>
      <c r="BJ170" s="91"/>
      <c r="BK170" s="91"/>
      <c r="BL170" s="91"/>
      <c r="BM170" s="91"/>
      <c r="BN170" s="91"/>
      <c r="BO170" s="91"/>
      <c r="BP170" s="91"/>
      <c r="BQ170" s="91"/>
      <c r="BR170" s="91"/>
      <c r="BS170" s="91"/>
      <c r="BT170" s="91"/>
      <c r="BU170" s="91"/>
      <c r="BV170" s="91"/>
      <c r="BW170" s="91"/>
      <c r="BX170" s="91"/>
      <c r="BY170" s="91"/>
      <c r="BZ170" s="91"/>
      <c r="CA170" s="91"/>
      <c r="CB170" s="91"/>
      <c r="CC170" s="91"/>
      <c r="CD170" s="91"/>
      <c r="CE170" s="91"/>
      <c r="CF170" s="91"/>
      <c r="CG170" s="91"/>
      <c r="CH170" s="91"/>
      <c r="CI170" s="91"/>
      <c r="CJ170" s="91"/>
      <c r="CK170" s="91"/>
      <c r="CL170" s="91"/>
      <c r="CM170" s="91"/>
      <c r="CN170" s="91"/>
      <c r="CO170" s="91"/>
      <c r="CP170" s="91"/>
      <c r="CQ170" s="91"/>
      <c r="CR170" s="91"/>
      <c r="CS170" s="91"/>
      <c r="CT170" s="91"/>
      <c r="CU170" s="91"/>
      <c r="CV170" s="91"/>
      <c r="CW170" s="91"/>
      <c r="CX170" s="91"/>
      <c r="CY170" s="91"/>
      <c r="CZ170" s="91"/>
      <c r="DA170" s="91"/>
      <c r="DB170" s="91"/>
      <c r="DC170" s="91"/>
      <c r="DD170" s="91"/>
      <c r="DE170" s="91"/>
      <c r="DF170" s="91"/>
      <c r="DG170" s="91"/>
      <c r="DH170" s="91"/>
      <c r="DI170" s="91"/>
      <c r="DJ170" s="91"/>
      <c r="DK170" s="91"/>
      <c r="DL170" s="91"/>
      <c r="DM170" s="91"/>
      <c r="DN170" s="91"/>
      <c r="DO170" s="91"/>
      <c r="DP170" s="91"/>
      <c r="DQ170" s="91"/>
      <c r="DR170" s="91"/>
      <c r="DS170" s="91"/>
      <c r="DT170" s="91"/>
      <c r="DU170" s="91"/>
      <c r="DV170" s="91"/>
      <c r="DW170" s="91"/>
      <c r="DX170" s="91"/>
      <c r="DY170" s="91"/>
      <c r="DZ170" s="91"/>
      <c r="EA170" s="91"/>
      <c r="EB170" s="91"/>
      <c r="EC170" s="91"/>
      <c r="ED170" s="91"/>
      <c r="EE170" s="91"/>
      <c r="EF170" s="91"/>
      <c r="EG170" s="91"/>
      <c r="EH170" s="91"/>
      <c r="EI170" s="91"/>
      <c r="EJ170" s="91"/>
      <c r="EK170" s="91"/>
      <c r="EL170" s="91"/>
      <c r="EM170" s="91"/>
      <c r="EN170" s="91"/>
      <c r="EO170" s="91"/>
      <c r="EP170" s="91"/>
      <c r="EQ170" s="91"/>
      <c r="ER170" s="91"/>
      <c r="ES170" s="91"/>
      <c r="ET170" s="91"/>
      <c r="EU170" s="91"/>
      <c r="EV170" s="91"/>
      <c r="EW170" s="91"/>
      <c r="EX170" s="91"/>
      <c r="EY170" s="91"/>
      <c r="EZ170" s="91"/>
      <c r="FA170" s="91"/>
      <c r="FB170" s="91"/>
      <c r="FC170" s="91"/>
      <c r="FD170" s="91"/>
      <c r="FE170" s="91"/>
      <c r="FF170" s="91"/>
      <c r="FG170" s="91"/>
      <c r="FH170" s="91"/>
      <c r="FI170" s="91"/>
      <c r="FJ170" s="91"/>
      <c r="FK170" s="91"/>
      <c r="FL170" s="91"/>
      <c r="FM170" s="91"/>
      <c r="FN170" s="91"/>
      <c r="FO170" s="91"/>
      <c r="FP170" s="91"/>
      <c r="FQ170" s="91"/>
      <c r="FR170" s="91"/>
      <c r="FS170" s="91"/>
      <c r="FT170" s="91"/>
      <c r="FU170" s="91"/>
      <c r="FV170" s="91"/>
      <c r="FW170" s="91"/>
      <c r="FX170" s="91"/>
      <c r="FY170" s="91"/>
      <c r="FZ170" s="91"/>
      <c r="GA170" s="91"/>
      <c r="GB170" s="91"/>
      <c r="GC170" s="91"/>
      <c r="GD170" s="91"/>
      <c r="GE170" s="91"/>
      <c r="GF170" s="91"/>
      <c r="GG170" s="91"/>
      <c r="GH170" s="91"/>
      <c r="GI170" s="91"/>
      <c r="GJ170" s="91"/>
      <c r="GK170" s="91"/>
      <c r="GL170" s="91"/>
      <c r="GM170" s="91"/>
      <c r="GN170" s="91"/>
      <c r="GO170" s="91"/>
      <c r="GP170" s="91"/>
      <c r="GQ170" s="91"/>
      <c r="GR170" s="91"/>
      <c r="GS170" s="91"/>
      <c r="GT170" s="91"/>
      <c r="GU170" s="91"/>
      <c r="GV170" s="91"/>
      <c r="GW170" s="91"/>
      <c r="GX170" s="91"/>
      <c r="GY170" s="91"/>
      <c r="GZ170" s="91"/>
      <c r="HA170" s="91"/>
      <c r="HB170" s="91"/>
      <c r="HC170" s="91"/>
      <c r="HD170" s="91"/>
      <c r="HE170" s="91"/>
      <c r="HF170" s="91"/>
      <c r="HG170" s="91"/>
      <c r="HH170" s="91"/>
      <c r="HI170" s="91"/>
      <c r="HJ170" s="91"/>
      <c r="HK170" s="91"/>
      <c r="HL170" s="91"/>
      <c r="HM170" s="91"/>
      <c r="HN170" s="91"/>
      <c r="HO170" s="91"/>
      <c r="HP170" s="91"/>
      <c r="HQ170" s="91"/>
      <c r="HR170" s="91"/>
      <c r="HS170" s="91"/>
      <c r="HT170" s="91"/>
      <c r="HU170" s="91"/>
      <c r="HV170" s="91"/>
      <c r="HW170" s="91"/>
      <c r="HX170" s="91"/>
      <c r="HY170" s="91"/>
      <c r="HZ170" s="91"/>
      <c r="IA170" s="91"/>
      <c r="IB170" s="91"/>
      <c r="IC170" s="91"/>
      <c r="ID170" s="91"/>
      <c r="IE170" s="91"/>
      <c r="IF170" s="91"/>
      <c r="IG170" s="91"/>
      <c r="IH170" s="91"/>
      <c r="II170" s="91"/>
      <c r="IJ170" s="91"/>
      <c r="IK170" s="91"/>
      <c r="IL170" s="91"/>
      <c r="IM170" s="91"/>
      <c r="IN170" s="91"/>
      <c r="IO170" s="91"/>
      <c r="IP170" s="91"/>
      <c r="IQ170" s="91"/>
      <c r="IR170" s="91"/>
      <c r="IS170" s="91"/>
      <c r="IT170" s="91"/>
      <c r="IU170" s="91"/>
      <c r="IV170" s="91"/>
    </row>
    <row r="171" s="92" customFormat="1" ht="20.1" customHeight="1" spans="1:256">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1"/>
      <c r="BI171" s="91"/>
      <c r="BJ171" s="91"/>
      <c r="BK171" s="91"/>
      <c r="BL171" s="91"/>
      <c r="BM171" s="91"/>
      <c r="BN171" s="91"/>
      <c r="BO171" s="91"/>
      <c r="BP171" s="91"/>
      <c r="BQ171" s="91"/>
      <c r="BR171" s="91"/>
      <c r="BS171" s="91"/>
      <c r="BT171" s="91"/>
      <c r="BU171" s="91"/>
      <c r="BV171" s="91"/>
      <c r="BW171" s="91"/>
      <c r="BX171" s="91"/>
      <c r="BY171" s="91"/>
      <c r="BZ171" s="91"/>
      <c r="CA171" s="91"/>
      <c r="CB171" s="91"/>
      <c r="CC171" s="91"/>
      <c r="CD171" s="91"/>
      <c r="CE171" s="91"/>
      <c r="CF171" s="91"/>
      <c r="CG171" s="91"/>
      <c r="CH171" s="91"/>
      <c r="CI171" s="91"/>
      <c r="CJ171" s="91"/>
      <c r="CK171" s="91"/>
      <c r="CL171" s="91"/>
      <c r="CM171" s="91"/>
      <c r="CN171" s="91"/>
      <c r="CO171" s="91"/>
      <c r="CP171" s="91"/>
      <c r="CQ171" s="91"/>
      <c r="CR171" s="91"/>
      <c r="CS171" s="91"/>
      <c r="CT171" s="91"/>
      <c r="CU171" s="91"/>
      <c r="CV171" s="91"/>
      <c r="CW171" s="91"/>
      <c r="CX171" s="91"/>
      <c r="CY171" s="91"/>
      <c r="CZ171" s="91"/>
      <c r="DA171" s="91"/>
      <c r="DB171" s="91"/>
      <c r="DC171" s="91"/>
      <c r="DD171" s="91"/>
      <c r="DE171" s="91"/>
      <c r="DF171" s="91"/>
      <c r="DG171" s="91"/>
      <c r="DH171" s="91"/>
      <c r="DI171" s="91"/>
      <c r="DJ171" s="91"/>
      <c r="DK171" s="91"/>
      <c r="DL171" s="91"/>
      <c r="DM171" s="91"/>
      <c r="DN171" s="91"/>
      <c r="DO171" s="91"/>
      <c r="DP171" s="91"/>
      <c r="DQ171" s="91"/>
      <c r="DR171" s="91"/>
      <c r="DS171" s="91"/>
      <c r="DT171" s="91"/>
      <c r="DU171" s="91"/>
      <c r="DV171" s="91"/>
      <c r="DW171" s="91"/>
      <c r="DX171" s="91"/>
      <c r="DY171" s="91"/>
      <c r="DZ171" s="91"/>
      <c r="EA171" s="91"/>
      <c r="EB171" s="91"/>
      <c r="EC171" s="91"/>
      <c r="ED171" s="91"/>
      <c r="EE171" s="91"/>
      <c r="EF171" s="91"/>
      <c r="EG171" s="91"/>
      <c r="EH171" s="91"/>
      <c r="EI171" s="91"/>
      <c r="EJ171" s="91"/>
      <c r="EK171" s="91"/>
      <c r="EL171" s="91"/>
      <c r="EM171" s="91"/>
      <c r="EN171" s="91"/>
      <c r="EO171" s="91"/>
      <c r="EP171" s="91"/>
      <c r="EQ171" s="91"/>
      <c r="ER171" s="91"/>
      <c r="ES171" s="91"/>
      <c r="ET171" s="91"/>
      <c r="EU171" s="91"/>
      <c r="EV171" s="91"/>
      <c r="EW171" s="91"/>
      <c r="EX171" s="91"/>
      <c r="EY171" s="91"/>
      <c r="EZ171" s="91"/>
      <c r="FA171" s="91"/>
      <c r="FB171" s="91"/>
      <c r="FC171" s="91"/>
      <c r="FD171" s="91"/>
      <c r="FE171" s="91"/>
      <c r="FF171" s="91"/>
      <c r="FG171" s="91"/>
      <c r="FH171" s="91"/>
      <c r="FI171" s="91"/>
      <c r="FJ171" s="91"/>
      <c r="FK171" s="91"/>
      <c r="FL171" s="91"/>
      <c r="FM171" s="91"/>
      <c r="FN171" s="91"/>
      <c r="FO171" s="91"/>
      <c r="FP171" s="91"/>
      <c r="FQ171" s="91"/>
      <c r="FR171" s="91"/>
      <c r="FS171" s="91"/>
      <c r="FT171" s="91"/>
      <c r="FU171" s="91"/>
      <c r="FV171" s="91"/>
      <c r="FW171" s="91"/>
      <c r="FX171" s="91"/>
      <c r="FY171" s="91"/>
      <c r="FZ171" s="91"/>
      <c r="GA171" s="91"/>
      <c r="GB171" s="91"/>
      <c r="GC171" s="91"/>
      <c r="GD171" s="91"/>
      <c r="GE171" s="91"/>
      <c r="GF171" s="91"/>
      <c r="GG171" s="91"/>
      <c r="GH171" s="91"/>
      <c r="GI171" s="91"/>
      <c r="GJ171" s="91"/>
      <c r="GK171" s="91"/>
      <c r="GL171" s="91"/>
      <c r="GM171" s="91"/>
      <c r="GN171" s="91"/>
      <c r="GO171" s="91"/>
      <c r="GP171" s="91"/>
      <c r="GQ171" s="91"/>
      <c r="GR171" s="91"/>
      <c r="GS171" s="91"/>
      <c r="GT171" s="91"/>
      <c r="GU171" s="91"/>
      <c r="GV171" s="91"/>
      <c r="GW171" s="91"/>
      <c r="GX171" s="91"/>
      <c r="GY171" s="91"/>
      <c r="GZ171" s="91"/>
      <c r="HA171" s="91"/>
      <c r="HB171" s="91"/>
      <c r="HC171" s="91"/>
      <c r="HD171" s="91"/>
      <c r="HE171" s="91"/>
      <c r="HF171" s="91"/>
      <c r="HG171" s="91"/>
      <c r="HH171" s="91"/>
      <c r="HI171" s="91"/>
      <c r="HJ171" s="91"/>
      <c r="HK171" s="91"/>
      <c r="HL171" s="91"/>
      <c r="HM171" s="91"/>
      <c r="HN171" s="91"/>
      <c r="HO171" s="91"/>
      <c r="HP171" s="91"/>
      <c r="HQ171" s="91"/>
      <c r="HR171" s="91"/>
      <c r="HS171" s="91"/>
      <c r="HT171" s="91"/>
      <c r="HU171" s="91"/>
      <c r="HV171" s="91"/>
      <c r="HW171" s="91"/>
      <c r="HX171" s="91"/>
      <c r="HY171" s="91"/>
      <c r="HZ171" s="91"/>
      <c r="IA171" s="91"/>
      <c r="IB171" s="91"/>
      <c r="IC171" s="91"/>
      <c r="ID171" s="91"/>
      <c r="IE171" s="91"/>
      <c r="IF171" s="91"/>
      <c r="IG171" s="91"/>
      <c r="IH171" s="91"/>
      <c r="II171" s="91"/>
      <c r="IJ171" s="91"/>
      <c r="IK171" s="91"/>
      <c r="IL171" s="91"/>
      <c r="IM171" s="91"/>
      <c r="IN171" s="91"/>
      <c r="IO171" s="91"/>
      <c r="IP171" s="91"/>
      <c r="IQ171" s="91"/>
      <c r="IR171" s="91"/>
      <c r="IS171" s="91"/>
      <c r="IT171" s="91"/>
      <c r="IU171" s="91"/>
      <c r="IV171" s="91"/>
    </row>
    <row r="172" s="91" customFormat="1" ht="20.1" customHeight="1"/>
    <row r="173" s="91" customFormat="1" ht="20.1" customHeight="1"/>
    <row r="174" s="91" customFormat="1" ht="20.1" customHeight="1"/>
    <row r="175" s="91" customFormat="1" ht="20.1" customHeight="1"/>
    <row r="176" s="91" customFormat="1" ht="20.1" customHeight="1"/>
    <row r="177" s="91" customFormat="1" ht="20.1" customHeight="1"/>
    <row r="178" s="91" customFormat="1" ht="20.1" customHeight="1"/>
    <row r="179" s="91" customFormat="1" ht="20.1" customHeight="1"/>
    <row r="180" s="91" customFormat="1" ht="20.1" customHeight="1"/>
    <row r="181" s="91" customFormat="1" ht="20.1" customHeight="1"/>
    <row r="182" s="91" customFormat="1" ht="20.1" customHeight="1"/>
    <row r="183" s="91" customFormat="1" ht="20.1" customHeight="1"/>
    <row r="184" s="91" customFormat="1" ht="20.1" customHeight="1"/>
    <row r="185" s="91" customFormat="1" ht="20.1" customHeight="1"/>
    <row r="186" s="91" customFormat="1" ht="20.1" customHeight="1"/>
    <row r="187" s="91" customFormat="1" ht="20.1" customHeight="1"/>
    <row r="188" s="91" customFormat="1" ht="20.1" customHeight="1"/>
    <row r="189" s="91" customFormat="1" ht="20.1" customHeight="1"/>
    <row r="190" s="91" customFormat="1" ht="20.1" customHeight="1"/>
    <row r="191" s="91" customFormat="1" ht="20.1" customHeight="1"/>
    <row r="192" s="91" customFormat="1" ht="20.1" customHeight="1"/>
    <row r="193" s="91" customFormat="1" ht="20.1" customHeight="1"/>
    <row r="194" s="91" customFormat="1" ht="20.1" customHeight="1"/>
    <row r="195" s="91" customFormat="1" ht="20.1" customHeight="1"/>
    <row r="196" s="91" customFormat="1" ht="20.1" customHeight="1"/>
    <row r="197" s="91" customFormat="1" ht="20.1" customHeight="1"/>
    <row r="198" s="91" customFormat="1" ht="20.1" customHeight="1"/>
    <row r="199" s="91" customFormat="1" ht="20.1" customHeight="1"/>
    <row r="200" s="91" customFormat="1" ht="15.75" customHeight="1"/>
    <row r="201" s="91" customFormat="1" ht="20.1" customHeight="1"/>
    <row r="202" s="91" customFormat="1" ht="20.1" customHeight="1"/>
    <row r="203" s="91" customFormat="1" ht="20.1" customHeight="1"/>
    <row r="204" s="91" customFormat="1" ht="20.1" customHeight="1"/>
    <row r="205" s="91" customFormat="1" ht="20.1" customHeight="1"/>
    <row r="206" s="91" customFormat="1" ht="20.1" customHeight="1"/>
    <row r="207" s="91" customFormat="1" ht="20.1" customHeight="1"/>
    <row r="208" s="91" customFormat="1" ht="20.1" customHeight="1"/>
    <row r="209" s="91" customFormat="1" ht="20.1" customHeight="1"/>
    <row r="210" s="91" customFormat="1" ht="20.1" customHeight="1"/>
    <row r="211" s="91" customFormat="1" ht="20.1" customHeight="1"/>
    <row r="212" s="91" customFormat="1" ht="20.1" customHeight="1"/>
    <row r="213" s="91" customFormat="1" ht="20.1" customHeight="1"/>
    <row r="214" s="91" customFormat="1" ht="20.1" customHeight="1"/>
    <row r="215" s="91" customFormat="1" ht="20.1" customHeight="1"/>
    <row r="216" s="91" customFormat="1" ht="20.1" customHeight="1"/>
    <row r="217" s="91" customFormat="1" ht="20.1" customHeight="1"/>
    <row r="218" s="91" customFormat="1" ht="20.1" customHeight="1"/>
    <row r="219" s="91" customFormat="1" ht="20.1" customHeight="1"/>
    <row r="220" s="91" customFormat="1" ht="20.1" customHeight="1"/>
    <row r="221" s="91" customFormat="1" ht="20.1" customHeight="1"/>
    <row r="222" s="91" customFormat="1" ht="20.1" customHeight="1"/>
    <row r="223" s="91" customFormat="1" ht="20.1" customHeight="1"/>
    <row r="224" s="91" customFormat="1" ht="20.1" customHeight="1"/>
    <row r="225" s="91" customFormat="1" ht="20.1" customHeight="1"/>
    <row r="226" s="91" customFormat="1" ht="20.1" customHeight="1"/>
    <row r="227" s="91" customFormat="1" ht="20.1" customHeight="1"/>
    <row r="228" s="91" customFormat="1" ht="20.1" customHeight="1"/>
    <row r="229" s="91" customFormat="1" ht="20.1" customHeight="1"/>
    <row r="230" s="91" customFormat="1" ht="20.1" customHeight="1"/>
    <row r="231" s="91" customFormat="1" ht="20.1" customHeight="1"/>
    <row r="232" s="91" customFormat="1" ht="20.1" customHeight="1"/>
    <row r="233" s="91" customFormat="1" ht="20.1" customHeight="1"/>
    <row r="234" s="91" customFormat="1" ht="20.1" customHeight="1"/>
    <row r="235" s="91" customFormat="1" ht="20.1" customHeight="1"/>
    <row r="236" s="91" customFormat="1" ht="20.1" customHeight="1"/>
    <row r="237" s="91" customFormat="1" ht="20.1" customHeight="1"/>
    <row r="238" s="91" customFormat="1" ht="20.1" customHeight="1"/>
    <row r="239" s="91" customFormat="1" ht="20.1" customHeight="1"/>
    <row r="240" s="91" customFormat="1" ht="20.1" customHeight="1"/>
    <row r="241" s="91" customFormat="1" ht="20.1" customHeight="1"/>
    <row r="242" s="91" customFormat="1" ht="20.1" customHeight="1"/>
    <row r="243" s="91" customFormat="1" ht="20.1" customHeight="1"/>
    <row r="244" s="91" customFormat="1" ht="20.1" customHeight="1"/>
    <row r="245" s="91" customFormat="1" ht="20.1" customHeight="1"/>
    <row r="246" s="91" customFormat="1" ht="20.1" customHeight="1"/>
    <row r="247" s="91" customFormat="1" ht="20.1" customHeight="1"/>
    <row r="248" s="91" customFormat="1" ht="20.1" customHeight="1"/>
    <row r="249" s="91" customFormat="1" ht="20.1" customHeight="1"/>
    <row r="250" s="91" customFormat="1" ht="20.1" customHeight="1"/>
    <row r="251" s="91" customFormat="1" ht="20.1" customHeight="1"/>
    <row r="252" s="91" customFormat="1" ht="20.1" customHeight="1"/>
    <row r="253" s="91" customFormat="1" ht="20.1" customHeight="1"/>
    <row r="254" s="91" customFormat="1" ht="20.1" customHeight="1"/>
    <row r="255" s="91" customFormat="1" ht="20.1" customHeight="1"/>
    <row r="256" s="91" customFormat="1" ht="20.1" customHeight="1"/>
    <row r="257" s="91" customFormat="1" ht="20.1" customHeight="1"/>
  </sheetData>
  <mergeCells count="4">
    <mergeCell ref="A1:D1"/>
    <mergeCell ref="A2:D2"/>
    <mergeCell ref="B4:D4"/>
    <mergeCell ref="A4:A5"/>
  </mergeCells>
  <dataValidations count="1">
    <dataValidation type="decimal" operator="between" allowBlank="1" showInputMessage="1" showErrorMessage="1" sqref="C6 C8:C11">
      <formula1>-99999999999999</formula1>
      <formula2>99999999999999</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0"/>
  <sheetViews>
    <sheetView showZeros="0" zoomScaleSheetLayoutView="60" workbookViewId="0">
      <pane ySplit="4" topLeftCell="A32" activePane="bottomLeft" state="frozen"/>
      <selection/>
      <selection pane="bottomLeft" activeCell="A1" sqref="$A1:$XFD65536"/>
    </sheetView>
  </sheetViews>
  <sheetFormatPr defaultColWidth="9" defaultRowHeight="12.5"/>
  <cols>
    <col min="1" max="1" width="38.25" style="196" customWidth="1"/>
    <col min="2" max="2" width="9.75" style="196" customWidth="1"/>
    <col min="3" max="3" width="8.375" style="196" customWidth="1"/>
    <col min="4" max="4" width="9.5" style="196" hidden="1" customWidth="1"/>
    <col min="5" max="5" width="12.125" style="196" hidden="1" customWidth="1"/>
    <col min="6" max="6" width="10.25" style="196" customWidth="1"/>
    <col min="7" max="7" width="9" style="196" customWidth="1"/>
    <col min="8" max="8" width="10.375" style="196" customWidth="1"/>
    <col min="9" max="9" width="32.125" style="196" customWidth="1"/>
    <col min="10" max="10" width="11" style="196" customWidth="1"/>
    <col min="11" max="11" width="8.625" style="196" customWidth="1"/>
    <col min="12" max="13" width="11.375" style="196" hidden="1" customWidth="1"/>
    <col min="14" max="14" width="10.75" style="196" customWidth="1"/>
    <col min="15" max="15" width="8.375" style="196" customWidth="1"/>
    <col min="16" max="16" width="10.375" style="196" customWidth="1"/>
    <col min="17" max="16384" width="9" style="196"/>
  </cols>
  <sheetData>
    <row r="1" s="196" customFormat="1" ht="24.75" customHeight="1" spans="1:15">
      <c r="A1" s="587" t="s">
        <v>82</v>
      </c>
      <c r="B1" s="198"/>
      <c r="C1" s="198"/>
      <c r="D1" s="198"/>
      <c r="E1" s="198"/>
      <c r="F1" s="198"/>
      <c r="G1" s="198"/>
      <c r="H1" s="198"/>
      <c r="I1" s="198"/>
      <c r="J1" s="198"/>
      <c r="K1" s="198"/>
      <c r="L1" s="198"/>
      <c r="M1" s="198"/>
      <c r="N1" s="198"/>
      <c r="O1" s="198"/>
    </row>
    <row r="2" s="196" customFormat="1" ht="17.25" customHeight="1" spans="1:15">
      <c r="A2" s="199"/>
      <c r="B2" s="199"/>
      <c r="C2" s="200"/>
      <c r="D2" s="200"/>
      <c r="E2" s="200"/>
      <c r="F2" s="200"/>
      <c r="G2" s="200"/>
      <c r="H2" s="200"/>
      <c r="I2" s="200"/>
      <c r="J2" s="200"/>
      <c r="K2" s="552" t="s">
        <v>51</v>
      </c>
      <c r="L2" s="552"/>
      <c r="M2" s="552"/>
      <c r="N2" s="552"/>
      <c r="O2" s="553"/>
    </row>
    <row r="3" s="196" customFormat="1" ht="18" customHeight="1" spans="1:16">
      <c r="A3" s="204" t="s">
        <v>83</v>
      </c>
      <c r="B3" s="205"/>
      <c r="C3" s="205"/>
      <c r="D3" s="546" t="s">
        <v>84</v>
      </c>
      <c r="E3" s="546" t="s">
        <v>84</v>
      </c>
      <c r="F3" s="203"/>
      <c r="G3" s="203"/>
      <c r="H3" s="203"/>
      <c r="I3" s="204" t="s">
        <v>85</v>
      </c>
      <c r="J3" s="205"/>
      <c r="K3" s="205"/>
      <c r="L3" s="546" t="s">
        <v>84</v>
      </c>
      <c r="M3" s="546" t="s">
        <v>84</v>
      </c>
      <c r="N3" s="205"/>
      <c r="O3" s="205"/>
      <c r="P3" s="231"/>
    </row>
    <row r="4" s="196" customFormat="1" ht="30" customHeight="1" spans="1:16">
      <c r="A4" s="547" t="s">
        <v>52</v>
      </c>
      <c r="B4" s="547" t="s">
        <v>53</v>
      </c>
      <c r="C4" s="588" t="s">
        <v>86</v>
      </c>
      <c r="D4" s="547" t="s">
        <v>87</v>
      </c>
      <c r="E4" s="547" t="s">
        <v>88</v>
      </c>
      <c r="F4" s="589" t="s">
        <v>89</v>
      </c>
      <c r="G4" s="548" t="s">
        <v>90</v>
      </c>
      <c r="H4" s="589" t="s">
        <v>91</v>
      </c>
      <c r="I4" s="547" t="s">
        <v>52</v>
      </c>
      <c r="J4" s="547" t="s">
        <v>53</v>
      </c>
      <c r="K4" s="547" t="s">
        <v>86</v>
      </c>
      <c r="L4" s="547" t="s">
        <v>87</v>
      </c>
      <c r="M4" s="547" t="s">
        <v>88</v>
      </c>
      <c r="N4" s="589" t="s">
        <v>89</v>
      </c>
      <c r="O4" s="548" t="s">
        <v>90</v>
      </c>
      <c r="P4" s="589" t="s">
        <v>91</v>
      </c>
    </row>
    <row r="5" s="197" customFormat="1" ht="26.25" customHeight="1" spans="1:16">
      <c r="A5" s="209" t="s">
        <v>92</v>
      </c>
      <c r="B5" s="210">
        <v>23610</v>
      </c>
      <c r="C5" s="210">
        <v>24320</v>
      </c>
      <c r="D5" s="210">
        <v>19795</v>
      </c>
      <c r="E5" s="210">
        <f t="shared" ref="E5:E68" si="0">F5-C5</f>
        <v>-2374</v>
      </c>
      <c r="F5" s="210">
        <v>21946</v>
      </c>
      <c r="G5" s="210">
        <f t="shared" ref="G5:G68" si="1">F5-B5</f>
        <v>-1664</v>
      </c>
      <c r="H5" s="212">
        <f t="shared" ref="H5:H18" si="2">G5/B5*100</f>
        <v>-7.05</v>
      </c>
      <c r="I5" s="209" t="s">
        <v>93</v>
      </c>
      <c r="J5" s="213">
        <v>326441</v>
      </c>
      <c r="K5" s="213">
        <v>338323</v>
      </c>
      <c r="L5" s="213">
        <v>387242</v>
      </c>
      <c r="M5" s="213">
        <f t="shared" ref="M5:M12" si="3">N5-K5</f>
        <v>-10976</v>
      </c>
      <c r="N5" s="213">
        <v>327347</v>
      </c>
      <c r="O5" s="213">
        <f t="shared" ref="O5:O13" si="4">N5-J5</f>
        <v>906</v>
      </c>
      <c r="P5" s="554">
        <f t="shared" ref="P5:P8" si="5">O5/J5*100</f>
        <v>0.28</v>
      </c>
    </row>
    <row r="6" s="197" customFormat="1" ht="26.25" customHeight="1" spans="1:16">
      <c r="A6" s="214" t="s">
        <v>94</v>
      </c>
      <c r="B6" s="210">
        <f t="shared" ref="B6:F6" si="6">SUM(B7++B65+B68+B73+B77+B76)</f>
        <v>427889</v>
      </c>
      <c r="C6" s="210">
        <f t="shared" si="6"/>
        <v>318647</v>
      </c>
      <c r="D6" s="210">
        <f t="shared" si="6"/>
        <v>373892</v>
      </c>
      <c r="E6" s="210">
        <f t="shared" si="0"/>
        <v>110430</v>
      </c>
      <c r="F6" s="210">
        <f t="shared" si="6"/>
        <v>429077</v>
      </c>
      <c r="G6" s="210">
        <f t="shared" si="1"/>
        <v>1188</v>
      </c>
      <c r="H6" s="212">
        <f t="shared" si="2"/>
        <v>0.28</v>
      </c>
      <c r="I6" s="214" t="s">
        <v>95</v>
      </c>
      <c r="J6" s="213">
        <f t="shared" ref="J6:L6" si="7">J7+J14</f>
        <v>3922</v>
      </c>
      <c r="K6" s="213">
        <f t="shared" si="7"/>
        <v>3244</v>
      </c>
      <c r="L6" s="213">
        <f t="shared" si="7"/>
        <v>3986</v>
      </c>
      <c r="M6" s="213">
        <f t="shared" si="3"/>
        <v>909</v>
      </c>
      <c r="N6" s="213">
        <f>N7+N14</f>
        <v>4153</v>
      </c>
      <c r="O6" s="213">
        <f t="shared" si="4"/>
        <v>231</v>
      </c>
      <c r="P6" s="554">
        <f t="shared" si="5"/>
        <v>5.89</v>
      </c>
    </row>
    <row r="7" s="197" customFormat="1" ht="26.25" customHeight="1" spans="1:16">
      <c r="A7" s="215" t="s">
        <v>96</v>
      </c>
      <c r="B7" s="210">
        <f t="shared" ref="B7:F7" si="8">SUM(B8+B14+B43)</f>
        <v>313368</v>
      </c>
      <c r="C7" s="210">
        <f t="shared" si="8"/>
        <v>234151</v>
      </c>
      <c r="D7" s="210">
        <f t="shared" si="8"/>
        <v>284629</v>
      </c>
      <c r="E7" s="210">
        <f t="shared" si="0"/>
        <v>92555</v>
      </c>
      <c r="F7" s="210">
        <f t="shared" si="8"/>
        <v>326706</v>
      </c>
      <c r="G7" s="210">
        <f t="shared" si="1"/>
        <v>13338</v>
      </c>
      <c r="H7" s="212">
        <f t="shared" si="2"/>
        <v>4.26</v>
      </c>
      <c r="I7" s="215" t="s">
        <v>97</v>
      </c>
      <c r="J7" s="210">
        <f t="shared" ref="J7:L7" si="9">SUM(J8:J12)</f>
        <v>3922</v>
      </c>
      <c r="K7" s="210">
        <f t="shared" si="9"/>
        <v>3244</v>
      </c>
      <c r="L7" s="210">
        <f t="shared" si="9"/>
        <v>3986</v>
      </c>
      <c r="M7" s="213">
        <f t="shared" si="3"/>
        <v>909</v>
      </c>
      <c r="N7" s="210">
        <f>SUM(N8:N12)</f>
        <v>4153</v>
      </c>
      <c r="O7" s="213">
        <f t="shared" si="4"/>
        <v>231</v>
      </c>
      <c r="P7" s="554">
        <f t="shared" si="5"/>
        <v>5.89</v>
      </c>
    </row>
    <row r="8" s="197" customFormat="1" ht="26.25" customHeight="1" spans="1:16">
      <c r="A8" s="215" t="s">
        <v>98</v>
      </c>
      <c r="B8" s="210">
        <f t="shared" ref="B8:F8" si="10">SUM(B9:B13)</f>
        <v>3844</v>
      </c>
      <c r="C8" s="210">
        <f t="shared" si="10"/>
        <v>3844</v>
      </c>
      <c r="D8" s="210">
        <f t="shared" si="10"/>
        <v>3844</v>
      </c>
      <c r="E8" s="210">
        <f t="shared" si="0"/>
        <v>0</v>
      </c>
      <c r="F8" s="210">
        <f t="shared" si="10"/>
        <v>3844</v>
      </c>
      <c r="G8" s="210">
        <f t="shared" si="1"/>
        <v>0</v>
      </c>
      <c r="H8" s="212">
        <f t="shared" si="2"/>
        <v>0</v>
      </c>
      <c r="I8" s="216" t="s">
        <v>99</v>
      </c>
      <c r="J8" s="218">
        <v>73</v>
      </c>
      <c r="K8" s="218">
        <v>73</v>
      </c>
      <c r="L8" s="218">
        <v>73</v>
      </c>
      <c r="M8" s="213">
        <f t="shared" si="3"/>
        <v>0</v>
      </c>
      <c r="N8" s="218">
        <v>73</v>
      </c>
      <c r="O8" s="220">
        <f t="shared" si="4"/>
        <v>0</v>
      </c>
      <c r="P8" s="555">
        <f t="shared" si="5"/>
        <v>0</v>
      </c>
    </row>
    <row r="9" s="197" customFormat="1" ht="26.25" customHeight="1" spans="1:16">
      <c r="A9" s="219" t="s">
        <v>100</v>
      </c>
      <c r="B9" s="549">
        <v>404</v>
      </c>
      <c r="C9" s="218">
        <v>404</v>
      </c>
      <c r="D9" s="218">
        <v>404</v>
      </c>
      <c r="E9" s="210">
        <f t="shared" si="0"/>
        <v>0</v>
      </c>
      <c r="F9" s="218">
        <v>404</v>
      </c>
      <c r="G9" s="218">
        <f t="shared" si="1"/>
        <v>0</v>
      </c>
      <c r="H9" s="221">
        <f t="shared" si="2"/>
        <v>0</v>
      </c>
      <c r="I9" s="216" t="s">
        <v>101</v>
      </c>
      <c r="J9" s="218"/>
      <c r="K9" s="218"/>
      <c r="L9" s="218"/>
      <c r="M9" s="213">
        <f t="shared" si="3"/>
        <v>0</v>
      </c>
      <c r="N9" s="218"/>
      <c r="O9" s="220">
        <f t="shared" si="4"/>
        <v>0</v>
      </c>
      <c r="P9" s="555"/>
    </row>
    <row r="10" s="197" customFormat="1" ht="26.25" customHeight="1" spans="1:16">
      <c r="A10" s="219" t="s">
        <v>102</v>
      </c>
      <c r="B10" s="550">
        <v>197</v>
      </c>
      <c r="C10" s="218">
        <v>197</v>
      </c>
      <c r="D10" s="218">
        <v>197</v>
      </c>
      <c r="E10" s="210">
        <f t="shared" si="0"/>
        <v>0</v>
      </c>
      <c r="F10" s="218">
        <v>197</v>
      </c>
      <c r="G10" s="218">
        <f t="shared" si="1"/>
        <v>0</v>
      </c>
      <c r="H10" s="221">
        <f t="shared" si="2"/>
        <v>0</v>
      </c>
      <c r="I10" s="216" t="s">
        <v>103</v>
      </c>
      <c r="J10" s="218"/>
      <c r="K10" s="218"/>
      <c r="L10" s="218"/>
      <c r="M10" s="213">
        <f t="shared" si="3"/>
        <v>0</v>
      </c>
      <c r="N10" s="218"/>
      <c r="O10" s="220">
        <f t="shared" si="4"/>
        <v>0</v>
      </c>
      <c r="P10" s="555"/>
    </row>
    <row r="11" s="197" customFormat="1" ht="26.25" customHeight="1" spans="1:16">
      <c r="A11" s="219" t="s">
        <v>104</v>
      </c>
      <c r="B11" s="551">
        <v>657</v>
      </c>
      <c r="C11" s="218">
        <v>657</v>
      </c>
      <c r="D11" s="218">
        <v>657</v>
      </c>
      <c r="E11" s="210">
        <f t="shared" si="0"/>
        <v>0</v>
      </c>
      <c r="F11" s="218">
        <v>657</v>
      </c>
      <c r="G11" s="218">
        <f t="shared" si="1"/>
        <v>0</v>
      </c>
      <c r="H11" s="221">
        <f t="shared" si="2"/>
        <v>0</v>
      </c>
      <c r="I11" s="216" t="s">
        <v>105</v>
      </c>
      <c r="J11" s="218">
        <v>1608</v>
      </c>
      <c r="K11" s="218">
        <v>930</v>
      </c>
      <c r="L11" s="218">
        <v>822</v>
      </c>
      <c r="M11" s="213">
        <f t="shared" si="3"/>
        <v>-108</v>
      </c>
      <c r="N11" s="218">
        <v>822</v>
      </c>
      <c r="O11" s="220">
        <f t="shared" si="4"/>
        <v>-786</v>
      </c>
      <c r="P11" s="555">
        <f>O11/J11*100</f>
        <v>-48.88</v>
      </c>
    </row>
    <row r="12" s="197" customFormat="1" ht="26.25" customHeight="1" spans="1:16">
      <c r="A12" s="219" t="s">
        <v>106</v>
      </c>
      <c r="B12" s="550">
        <v>1979</v>
      </c>
      <c r="C12" s="218">
        <f t="shared" ref="C12:F12" si="11">2235-256</f>
        <v>1979</v>
      </c>
      <c r="D12" s="218">
        <f t="shared" si="11"/>
        <v>1979</v>
      </c>
      <c r="E12" s="210">
        <f t="shared" si="0"/>
        <v>0</v>
      </c>
      <c r="F12" s="218">
        <f t="shared" si="11"/>
        <v>1979</v>
      </c>
      <c r="G12" s="218">
        <f t="shared" si="1"/>
        <v>0</v>
      </c>
      <c r="H12" s="221">
        <f t="shared" si="2"/>
        <v>0</v>
      </c>
      <c r="I12" s="590" t="s">
        <v>107</v>
      </c>
      <c r="J12" s="218">
        <v>2241</v>
      </c>
      <c r="K12" s="218">
        <v>2241</v>
      </c>
      <c r="L12" s="218">
        <v>3091</v>
      </c>
      <c r="M12" s="213">
        <f t="shared" si="3"/>
        <v>1017</v>
      </c>
      <c r="N12" s="218">
        <v>3258</v>
      </c>
      <c r="O12" s="220">
        <f t="shared" si="4"/>
        <v>1017</v>
      </c>
      <c r="P12" s="555"/>
    </row>
    <row r="13" s="197" customFormat="1" ht="26.25" customHeight="1" spans="1:16">
      <c r="A13" s="219" t="s">
        <v>108</v>
      </c>
      <c r="B13" s="550">
        <v>607</v>
      </c>
      <c r="C13" s="218">
        <v>607</v>
      </c>
      <c r="D13" s="218">
        <v>607</v>
      </c>
      <c r="E13" s="210">
        <f t="shared" si="0"/>
        <v>0</v>
      </c>
      <c r="F13" s="218">
        <v>607</v>
      </c>
      <c r="G13" s="218">
        <f t="shared" si="1"/>
        <v>0</v>
      </c>
      <c r="H13" s="221">
        <f t="shared" si="2"/>
        <v>0</v>
      </c>
      <c r="I13" s="216"/>
      <c r="J13" s="218"/>
      <c r="K13" s="218"/>
      <c r="L13" s="218"/>
      <c r="M13" s="218"/>
      <c r="N13" s="218"/>
      <c r="O13" s="220">
        <f t="shared" si="4"/>
        <v>0</v>
      </c>
      <c r="P13" s="555"/>
    </row>
    <row r="14" s="197" customFormat="1" ht="26.25" customHeight="1" spans="1:17">
      <c r="A14" s="591" t="s">
        <v>109</v>
      </c>
      <c r="B14" s="210">
        <f t="shared" ref="B14:F14" si="12">SUM(B15:B42)</f>
        <v>270503</v>
      </c>
      <c r="C14" s="210">
        <f t="shared" si="12"/>
        <v>205645</v>
      </c>
      <c r="D14" s="210">
        <f t="shared" si="12"/>
        <v>259712</v>
      </c>
      <c r="E14" s="210">
        <f t="shared" si="0"/>
        <v>92239</v>
      </c>
      <c r="F14" s="210">
        <f t="shared" si="12"/>
        <v>297884</v>
      </c>
      <c r="G14" s="210">
        <f t="shared" si="1"/>
        <v>27381</v>
      </c>
      <c r="H14" s="212">
        <f t="shared" si="2"/>
        <v>10.12</v>
      </c>
      <c r="I14" s="215" t="s">
        <v>110</v>
      </c>
      <c r="J14" s="557">
        <f>J15+J20+J43+J65</f>
        <v>0</v>
      </c>
      <c r="K14" s="557">
        <f>K15+K20+K43</f>
        <v>0</v>
      </c>
      <c r="L14" s="557"/>
      <c r="M14" s="557"/>
      <c r="N14" s="557">
        <f>N15+N20+N43</f>
        <v>0</v>
      </c>
      <c r="O14" s="213"/>
      <c r="P14" s="554"/>
      <c r="Q14" s="197">
        <f>F14-C14</f>
        <v>92239</v>
      </c>
    </row>
    <row r="15" s="197" customFormat="1" ht="26.25" customHeight="1" spans="1:16">
      <c r="A15" s="219" t="s">
        <v>111</v>
      </c>
      <c r="B15" s="550">
        <v>1764</v>
      </c>
      <c r="C15" s="218">
        <v>1764</v>
      </c>
      <c r="D15" s="218">
        <v>1764</v>
      </c>
      <c r="E15" s="210">
        <f t="shared" si="0"/>
        <v>0</v>
      </c>
      <c r="F15" s="218">
        <v>1764</v>
      </c>
      <c r="G15" s="218">
        <f t="shared" si="1"/>
        <v>0</v>
      </c>
      <c r="H15" s="221">
        <f t="shared" si="2"/>
        <v>0</v>
      </c>
      <c r="I15" s="215" t="s">
        <v>112</v>
      </c>
      <c r="J15" s="210">
        <f t="shared" ref="J15:N15" si="13">SUM(J16:J19)</f>
        <v>0</v>
      </c>
      <c r="K15" s="210">
        <f t="shared" si="13"/>
        <v>0</v>
      </c>
      <c r="L15" s="210"/>
      <c r="M15" s="210"/>
      <c r="N15" s="210">
        <f t="shared" si="13"/>
        <v>0</v>
      </c>
      <c r="O15" s="213">
        <f t="shared" ref="O15:O67" si="14">N15-J15</f>
        <v>0</v>
      </c>
      <c r="P15" s="554"/>
    </row>
    <row r="16" s="197" customFormat="1" ht="26.25" customHeight="1" spans="1:16">
      <c r="A16" s="592" t="s">
        <v>113</v>
      </c>
      <c r="B16" s="550">
        <v>58851</v>
      </c>
      <c r="C16" s="218">
        <v>53147</v>
      </c>
      <c r="D16" s="218">
        <v>51147</v>
      </c>
      <c r="E16" s="210">
        <f t="shared" si="0"/>
        <v>14827</v>
      </c>
      <c r="F16" s="218">
        <v>67974</v>
      </c>
      <c r="G16" s="218">
        <f t="shared" si="1"/>
        <v>9123</v>
      </c>
      <c r="H16" s="221">
        <f t="shared" si="2"/>
        <v>15.5</v>
      </c>
      <c r="I16" s="216" t="s">
        <v>114</v>
      </c>
      <c r="J16" s="218"/>
      <c r="K16" s="218"/>
      <c r="L16" s="218"/>
      <c r="M16" s="218"/>
      <c r="N16" s="218"/>
      <c r="O16" s="220">
        <f t="shared" si="14"/>
        <v>0</v>
      </c>
      <c r="P16" s="555"/>
    </row>
    <row r="17" s="197" customFormat="1" ht="26.25" customHeight="1" spans="1:16">
      <c r="A17" s="224" t="s">
        <v>115</v>
      </c>
      <c r="B17" s="550">
        <v>16014</v>
      </c>
      <c r="C17" s="218">
        <v>14575</v>
      </c>
      <c r="D17" s="218">
        <v>16014</v>
      </c>
      <c r="E17" s="210">
        <f t="shared" si="0"/>
        <v>2335</v>
      </c>
      <c r="F17" s="218">
        <v>16910</v>
      </c>
      <c r="G17" s="218">
        <f t="shared" si="1"/>
        <v>896</v>
      </c>
      <c r="H17" s="221">
        <f t="shared" si="2"/>
        <v>5.6</v>
      </c>
      <c r="I17" s="216" t="s">
        <v>116</v>
      </c>
      <c r="J17" s="218"/>
      <c r="K17" s="218"/>
      <c r="L17" s="218"/>
      <c r="M17" s="218"/>
      <c r="N17" s="218"/>
      <c r="O17" s="220">
        <f t="shared" si="14"/>
        <v>0</v>
      </c>
      <c r="P17" s="555"/>
    </row>
    <row r="18" s="197" customFormat="1" ht="26.25" customHeight="1" spans="1:16">
      <c r="A18" s="593" t="s">
        <v>117</v>
      </c>
      <c r="B18" s="550">
        <v>7379</v>
      </c>
      <c r="C18" s="218">
        <v>4906</v>
      </c>
      <c r="D18" s="218">
        <v>5695</v>
      </c>
      <c r="E18" s="210">
        <f t="shared" si="0"/>
        <v>3879</v>
      </c>
      <c r="F18" s="218">
        <v>8785</v>
      </c>
      <c r="G18" s="218">
        <f t="shared" si="1"/>
        <v>1406</v>
      </c>
      <c r="H18" s="221">
        <f t="shared" si="2"/>
        <v>19.05</v>
      </c>
      <c r="I18" s="216" t="s">
        <v>118</v>
      </c>
      <c r="J18" s="218"/>
      <c r="K18" s="218"/>
      <c r="L18" s="218"/>
      <c r="M18" s="218"/>
      <c r="N18" s="218"/>
      <c r="O18" s="220">
        <f t="shared" si="14"/>
        <v>0</v>
      </c>
      <c r="P18" s="555"/>
    </row>
    <row r="19" s="197" customFormat="1" ht="26.25" customHeight="1" spans="1:16">
      <c r="A19" s="592" t="s">
        <v>119</v>
      </c>
      <c r="B19" s="550"/>
      <c r="C19" s="218"/>
      <c r="D19" s="218"/>
      <c r="E19" s="210">
        <f t="shared" si="0"/>
        <v>0</v>
      </c>
      <c r="F19" s="218"/>
      <c r="G19" s="218">
        <f t="shared" si="1"/>
        <v>0</v>
      </c>
      <c r="H19" s="221"/>
      <c r="I19" s="216" t="s">
        <v>120</v>
      </c>
      <c r="J19" s="218"/>
      <c r="K19" s="218"/>
      <c r="L19" s="218"/>
      <c r="M19" s="218"/>
      <c r="N19" s="218"/>
      <c r="O19" s="220">
        <f t="shared" si="14"/>
        <v>0</v>
      </c>
      <c r="P19" s="555"/>
    </row>
    <row r="20" s="197" customFormat="1" ht="26.25" customHeight="1" spans="1:16">
      <c r="A20" s="224" t="s">
        <v>121</v>
      </c>
      <c r="B20" s="550"/>
      <c r="C20" s="218"/>
      <c r="D20" s="218"/>
      <c r="E20" s="210">
        <f t="shared" si="0"/>
        <v>0</v>
      </c>
      <c r="F20" s="218"/>
      <c r="G20" s="218">
        <f t="shared" si="1"/>
        <v>0</v>
      </c>
      <c r="H20" s="221"/>
      <c r="I20" s="215" t="s">
        <v>122</v>
      </c>
      <c r="J20" s="210">
        <f t="shared" ref="J20:N20" si="15">SUM(J21:J39)</f>
        <v>0</v>
      </c>
      <c r="K20" s="210">
        <f t="shared" si="15"/>
        <v>0</v>
      </c>
      <c r="L20" s="210"/>
      <c r="M20" s="210"/>
      <c r="N20" s="210">
        <f t="shared" si="15"/>
        <v>0</v>
      </c>
      <c r="O20" s="213">
        <f t="shared" si="14"/>
        <v>0</v>
      </c>
      <c r="P20" s="554"/>
    </row>
    <row r="21" s="197" customFormat="1" ht="26.25" customHeight="1" spans="1:16">
      <c r="A21" s="224" t="s">
        <v>123</v>
      </c>
      <c r="B21" s="550">
        <v>883</v>
      </c>
      <c r="C21" s="218">
        <v>794</v>
      </c>
      <c r="D21" s="218">
        <v>883</v>
      </c>
      <c r="E21" s="210">
        <f t="shared" si="0"/>
        <v>89</v>
      </c>
      <c r="F21" s="218">
        <v>883</v>
      </c>
      <c r="G21" s="218">
        <f t="shared" si="1"/>
        <v>0</v>
      </c>
      <c r="H21" s="221">
        <f t="shared" ref="H21:H26" si="16">G21/B21*100</f>
        <v>0</v>
      </c>
      <c r="I21" s="216" t="s">
        <v>124</v>
      </c>
      <c r="J21" s="218"/>
      <c r="K21" s="218"/>
      <c r="L21" s="218"/>
      <c r="M21" s="218"/>
      <c r="N21" s="218"/>
      <c r="O21" s="220">
        <f t="shared" si="14"/>
        <v>0</v>
      </c>
      <c r="P21" s="555"/>
    </row>
    <row r="22" s="197" customFormat="1" ht="26.25" customHeight="1" spans="1:16">
      <c r="A22" s="224" t="s">
        <v>125</v>
      </c>
      <c r="B22" s="550">
        <v>8962</v>
      </c>
      <c r="C22" s="148">
        <v>8886</v>
      </c>
      <c r="D22" s="148">
        <v>7886</v>
      </c>
      <c r="E22" s="210">
        <f t="shared" si="0"/>
        <v>3120</v>
      </c>
      <c r="F22" s="148">
        <v>12006</v>
      </c>
      <c r="G22" s="218">
        <f t="shared" si="1"/>
        <v>3044</v>
      </c>
      <c r="H22" s="221">
        <f t="shared" si="16"/>
        <v>33.97</v>
      </c>
      <c r="I22" s="216" t="s">
        <v>126</v>
      </c>
      <c r="J22" s="218"/>
      <c r="K22" s="218"/>
      <c r="L22" s="218"/>
      <c r="M22" s="218"/>
      <c r="N22" s="218"/>
      <c r="O22" s="220">
        <f t="shared" si="14"/>
        <v>0</v>
      </c>
      <c r="P22" s="555"/>
    </row>
    <row r="23" s="197" customFormat="1" ht="26.25" customHeight="1" spans="1:16">
      <c r="A23" s="224" t="s">
        <v>127</v>
      </c>
      <c r="B23" s="550">
        <v>14674</v>
      </c>
      <c r="C23" s="148">
        <v>13134</v>
      </c>
      <c r="D23" s="148">
        <v>13616</v>
      </c>
      <c r="E23" s="210">
        <f t="shared" si="0"/>
        <v>820</v>
      </c>
      <c r="F23" s="148">
        <v>13954</v>
      </c>
      <c r="G23" s="218">
        <f t="shared" si="1"/>
        <v>-720</v>
      </c>
      <c r="H23" s="221">
        <f t="shared" si="16"/>
        <v>-4.91</v>
      </c>
      <c r="I23" s="227" t="s">
        <v>128</v>
      </c>
      <c r="J23" s="218"/>
      <c r="K23" s="218"/>
      <c r="L23" s="218"/>
      <c r="M23" s="218"/>
      <c r="N23" s="218"/>
      <c r="O23" s="220">
        <f t="shared" si="14"/>
        <v>0</v>
      </c>
      <c r="P23" s="555"/>
    </row>
    <row r="24" s="197" customFormat="1" ht="26.25" customHeight="1" spans="1:16">
      <c r="A24" s="594" t="s">
        <v>129</v>
      </c>
      <c r="B24" s="550">
        <v>974</v>
      </c>
      <c r="C24" s="148">
        <v>877</v>
      </c>
      <c r="D24" s="148">
        <v>1003</v>
      </c>
      <c r="E24" s="210">
        <f t="shared" si="0"/>
        <v>126</v>
      </c>
      <c r="F24" s="148">
        <v>1003</v>
      </c>
      <c r="G24" s="218">
        <f t="shared" si="1"/>
        <v>29</v>
      </c>
      <c r="H24" s="221">
        <f t="shared" si="16"/>
        <v>2.98</v>
      </c>
      <c r="I24" s="216" t="s">
        <v>130</v>
      </c>
      <c r="J24" s="218"/>
      <c r="K24" s="218"/>
      <c r="L24" s="218"/>
      <c r="M24" s="218"/>
      <c r="N24" s="218"/>
      <c r="O24" s="220">
        <f t="shared" si="14"/>
        <v>0</v>
      </c>
      <c r="P24" s="555"/>
    </row>
    <row r="25" s="197" customFormat="1" ht="26.25" customHeight="1" spans="1:16">
      <c r="A25" s="224" t="s">
        <v>131</v>
      </c>
      <c r="B25" s="550">
        <v>11542</v>
      </c>
      <c r="C25" s="148">
        <v>11487</v>
      </c>
      <c r="D25" s="148">
        <v>11487</v>
      </c>
      <c r="E25" s="210">
        <f t="shared" si="0"/>
        <v>10769</v>
      </c>
      <c r="F25" s="148">
        <v>22256</v>
      </c>
      <c r="G25" s="218">
        <f t="shared" si="1"/>
        <v>10714</v>
      </c>
      <c r="H25" s="221">
        <f t="shared" si="16"/>
        <v>92.83</v>
      </c>
      <c r="I25" s="216" t="s">
        <v>132</v>
      </c>
      <c r="J25" s="218"/>
      <c r="K25" s="218"/>
      <c r="L25" s="218"/>
      <c r="M25" s="218"/>
      <c r="N25" s="218"/>
      <c r="O25" s="220">
        <f t="shared" si="14"/>
        <v>0</v>
      </c>
      <c r="P25" s="555"/>
    </row>
    <row r="26" s="197" customFormat="1" ht="26.25" customHeight="1" spans="1:16">
      <c r="A26" s="594" t="s">
        <v>133</v>
      </c>
      <c r="B26" s="550">
        <v>61939</v>
      </c>
      <c r="C26" s="218">
        <v>34729</v>
      </c>
      <c r="D26" s="218">
        <v>62174</v>
      </c>
      <c r="E26" s="210">
        <f t="shared" si="0"/>
        <v>27445</v>
      </c>
      <c r="F26" s="218">
        <v>62174</v>
      </c>
      <c r="G26" s="218">
        <f t="shared" si="1"/>
        <v>235</v>
      </c>
      <c r="H26" s="221">
        <f t="shared" si="16"/>
        <v>0.38</v>
      </c>
      <c r="I26" s="216" t="s">
        <v>134</v>
      </c>
      <c r="J26" s="218"/>
      <c r="K26" s="218"/>
      <c r="L26" s="218"/>
      <c r="M26" s="218"/>
      <c r="N26" s="218"/>
      <c r="O26" s="220">
        <f t="shared" si="14"/>
        <v>0</v>
      </c>
      <c r="P26" s="555"/>
    </row>
    <row r="27" s="197" customFormat="1" ht="26.25" customHeight="1" spans="1:16">
      <c r="A27" s="224" t="s">
        <v>135</v>
      </c>
      <c r="B27" s="550"/>
      <c r="C27" s="218"/>
      <c r="D27" s="218"/>
      <c r="E27" s="210">
        <f t="shared" si="0"/>
        <v>0</v>
      </c>
      <c r="F27" s="218"/>
      <c r="G27" s="218">
        <f t="shared" si="1"/>
        <v>0</v>
      </c>
      <c r="H27" s="221"/>
      <c r="I27" s="216" t="s">
        <v>136</v>
      </c>
      <c r="J27" s="218"/>
      <c r="K27" s="218"/>
      <c r="L27" s="218"/>
      <c r="M27" s="218"/>
      <c r="N27" s="218"/>
      <c r="O27" s="220">
        <f t="shared" si="14"/>
        <v>0</v>
      </c>
      <c r="P27" s="555"/>
    </row>
    <row r="28" s="197" customFormat="1" ht="26.25" customHeight="1" spans="1:16">
      <c r="A28" s="224" t="s">
        <v>137</v>
      </c>
      <c r="B28" s="550">
        <v>2491</v>
      </c>
      <c r="C28" s="218">
        <v>108</v>
      </c>
      <c r="D28" s="218">
        <v>1770</v>
      </c>
      <c r="E28" s="210">
        <f t="shared" si="0"/>
        <v>1592</v>
      </c>
      <c r="F28" s="218">
        <v>1700</v>
      </c>
      <c r="G28" s="218">
        <f t="shared" si="1"/>
        <v>-791</v>
      </c>
      <c r="H28" s="221">
        <f t="shared" ref="H28:H38" si="17">G28/B28*100</f>
        <v>-31.75</v>
      </c>
      <c r="I28" s="216" t="s">
        <v>138</v>
      </c>
      <c r="J28" s="218"/>
      <c r="K28" s="218"/>
      <c r="L28" s="218"/>
      <c r="M28" s="218"/>
      <c r="N28" s="218"/>
      <c r="O28" s="220">
        <f t="shared" si="14"/>
        <v>0</v>
      </c>
      <c r="P28" s="555"/>
    </row>
    <row r="29" s="197" customFormat="1" ht="26.25" customHeight="1" spans="1:16">
      <c r="A29" s="224" t="s">
        <v>139</v>
      </c>
      <c r="B29" s="550">
        <v>20696</v>
      </c>
      <c r="C29" s="218">
        <v>18263</v>
      </c>
      <c r="D29" s="218">
        <v>20229</v>
      </c>
      <c r="E29" s="210">
        <f t="shared" si="0"/>
        <v>2077</v>
      </c>
      <c r="F29" s="218">
        <v>20340</v>
      </c>
      <c r="G29" s="218">
        <f t="shared" si="1"/>
        <v>-356</v>
      </c>
      <c r="H29" s="221">
        <f t="shared" si="17"/>
        <v>-1.72</v>
      </c>
      <c r="I29" s="216" t="s">
        <v>140</v>
      </c>
      <c r="J29" s="218"/>
      <c r="K29" s="218"/>
      <c r="L29" s="218"/>
      <c r="M29" s="218"/>
      <c r="N29" s="218"/>
      <c r="O29" s="220">
        <f t="shared" si="14"/>
        <v>0</v>
      </c>
      <c r="P29" s="555"/>
    </row>
    <row r="30" s="197" customFormat="1" ht="26.25" customHeight="1" spans="1:16">
      <c r="A30" s="594" t="s">
        <v>141</v>
      </c>
      <c r="B30" s="550">
        <v>15</v>
      </c>
      <c r="C30" s="218"/>
      <c r="D30" s="218">
        <v>21</v>
      </c>
      <c r="E30" s="210">
        <f t="shared" si="0"/>
        <v>0</v>
      </c>
      <c r="F30" s="218">
        <v>0</v>
      </c>
      <c r="G30" s="218">
        <f t="shared" si="1"/>
        <v>-15</v>
      </c>
      <c r="H30" s="221"/>
      <c r="I30" s="224" t="s">
        <v>142</v>
      </c>
      <c r="J30" s="218"/>
      <c r="K30" s="218"/>
      <c r="L30" s="218"/>
      <c r="M30" s="218"/>
      <c r="N30" s="218"/>
      <c r="O30" s="220">
        <f t="shared" si="14"/>
        <v>0</v>
      </c>
      <c r="P30" s="555"/>
    </row>
    <row r="31" s="197" customFormat="1" ht="26.25" customHeight="1" spans="1:16">
      <c r="A31" s="224" t="s">
        <v>143</v>
      </c>
      <c r="B31" s="550">
        <v>874</v>
      </c>
      <c r="C31" s="218">
        <v>727</v>
      </c>
      <c r="D31" s="218">
        <v>853</v>
      </c>
      <c r="E31" s="210">
        <f t="shared" si="0"/>
        <v>126</v>
      </c>
      <c r="F31" s="218">
        <v>853</v>
      </c>
      <c r="G31" s="218">
        <f t="shared" si="1"/>
        <v>-21</v>
      </c>
      <c r="H31" s="221">
        <f t="shared" si="17"/>
        <v>-2.4</v>
      </c>
      <c r="I31" s="224" t="s">
        <v>144</v>
      </c>
      <c r="J31" s="218"/>
      <c r="K31" s="218"/>
      <c r="L31" s="218"/>
      <c r="M31" s="218"/>
      <c r="N31" s="218"/>
      <c r="O31" s="220">
        <f t="shared" si="14"/>
        <v>0</v>
      </c>
      <c r="P31" s="555"/>
    </row>
    <row r="32" s="197" customFormat="1" ht="26.25" customHeight="1" spans="1:16">
      <c r="A32" s="224" t="s">
        <v>145</v>
      </c>
      <c r="B32" s="550">
        <v>27670</v>
      </c>
      <c r="C32" s="218">
        <v>22522</v>
      </c>
      <c r="D32" s="218">
        <v>29225</v>
      </c>
      <c r="E32" s="210">
        <f t="shared" si="0"/>
        <v>7766</v>
      </c>
      <c r="F32" s="218">
        <v>30288</v>
      </c>
      <c r="G32" s="218">
        <f t="shared" si="1"/>
        <v>2618</v>
      </c>
      <c r="H32" s="221">
        <f t="shared" si="17"/>
        <v>9.46</v>
      </c>
      <c r="I32" s="224" t="s">
        <v>146</v>
      </c>
      <c r="J32" s="218"/>
      <c r="K32" s="218"/>
      <c r="L32" s="218"/>
      <c r="M32" s="218"/>
      <c r="N32" s="218"/>
      <c r="O32" s="220">
        <f t="shared" si="14"/>
        <v>0</v>
      </c>
      <c r="P32" s="555"/>
    </row>
    <row r="33" s="197" customFormat="1" ht="26.25" customHeight="1" spans="1:16">
      <c r="A33" s="224" t="s">
        <v>147</v>
      </c>
      <c r="B33" s="550">
        <v>7696</v>
      </c>
      <c r="C33" s="218">
        <v>7083</v>
      </c>
      <c r="D33" s="218">
        <v>7632</v>
      </c>
      <c r="E33" s="210">
        <f t="shared" si="0"/>
        <v>600</v>
      </c>
      <c r="F33" s="218">
        <v>7683</v>
      </c>
      <c r="G33" s="218">
        <f t="shared" si="1"/>
        <v>-13</v>
      </c>
      <c r="H33" s="221">
        <f t="shared" si="17"/>
        <v>-0.17</v>
      </c>
      <c r="I33" s="227" t="s">
        <v>148</v>
      </c>
      <c r="J33" s="218"/>
      <c r="K33" s="218"/>
      <c r="L33" s="218"/>
      <c r="M33" s="218"/>
      <c r="N33" s="218"/>
      <c r="O33" s="220">
        <f t="shared" si="14"/>
        <v>0</v>
      </c>
      <c r="P33" s="555"/>
    </row>
    <row r="34" s="197" customFormat="1" ht="26.25" customHeight="1" spans="1:16">
      <c r="A34" s="594" t="s">
        <v>149</v>
      </c>
      <c r="B34" s="550">
        <v>1227</v>
      </c>
      <c r="C34" s="218">
        <v>828</v>
      </c>
      <c r="D34" s="218">
        <v>1194</v>
      </c>
      <c r="E34" s="210">
        <f t="shared" si="0"/>
        <v>366</v>
      </c>
      <c r="F34" s="218">
        <v>1194</v>
      </c>
      <c r="G34" s="218">
        <f t="shared" si="1"/>
        <v>-33</v>
      </c>
      <c r="H34" s="221">
        <f t="shared" si="17"/>
        <v>-2.69</v>
      </c>
      <c r="I34" s="224" t="s">
        <v>150</v>
      </c>
      <c r="J34" s="218"/>
      <c r="K34" s="218"/>
      <c r="L34" s="218"/>
      <c r="M34" s="218"/>
      <c r="N34" s="218"/>
      <c r="O34" s="220">
        <f t="shared" si="14"/>
        <v>0</v>
      </c>
      <c r="P34" s="555"/>
    </row>
    <row r="35" s="197" customFormat="1" ht="26.25" customHeight="1" spans="1:16">
      <c r="A35" s="594" t="s">
        <v>151</v>
      </c>
      <c r="B35" s="550">
        <v>22827</v>
      </c>
      <c r="C35" s="218">
        <v>5231</v>
      </c>
      <c r="D35" s="218">
        <v>17223</v>
      </c>
      <c r="E35" s="210">
        <f t="shared" si="0"/>
        <v>13595</v>
      </c>
      <c r="F35" s="218">
        <v>18826</v>
      </c>
      <c r="G35" s="218">
        <f t="shared" si="1"/>
        <v>-4001</v>
      </c>
      <c r="H35" s="221">
        <f t="shared" si="17"/>
        <v>-17.53</v>
      </c>
      <c r="I35" s="224" t="s">
        <v>152</v>
      </c>
      <c r="J35" s="218"/>
      <c r="K35" s="218"/>
      <c r="L35" s="218"/>
      <c r="M35" s="218"/>
      <c r="N35" s="218"/>
      <c r="O35" s="220">
        <f t="shared" si="14"/>
        <v>0</v>
      </c>
      <c r="P35" s="555"/>
    </row>
    <row r="36" s="197" customFormat="1" ht="26.25" customHeight="1" spans="1:16">
      <c r="A36" s="594" t="s">
        <v>153</v>
      </c>
      <c r="B36" s="550">
        <v>620</v>
      </c>
      <c r="C36" s="218">
        <v>776</v>
      </c>
      <c r="D36" s="218">
        <v>7427</v>
      </c>
      <c r="E36" s="210">
        <f t="shared" si="0"/>
        <v>6650</v>
      </c>
      <c r="F36" s="218">
        <v>7426</v>
      </c>
      <c r="G36" s="218">
        <f t="shared" si="1"/>
        <v>6806</v>
      </c>
      <c r="H36" s="221">
        <f t="shared" si="17"/>
        <v>1097.74</v>
      </c>
      <c r="I36" s="224" t="s">
        <v>154</v>
      </c>
      <c r="J36" s="218"/>
      <c r="K36" s="218"/>
      <c r="L36" s="218"/>
      <c r="M36" s="218"/>
      <c r="N36" s="218"/>
      <c r="O36" s="220">
        <f t="shared" si="14"/>
        <v>0</v>
      </c>
      <c r="P36" s="555"/>
    </row>
    <row r="37" s="197" customFormat="1" ht="26.25" customHeight="1" spans="1:16">
      <c r="A37" s="224" t="s">
        <v>155</v>
      </c>
      <c r="B37" s="550">
        <v>627</v>
      </c>
      <c r="C37" s="218">
        <v>194</v>
      </c>
      <c r="D37" s="218">
        <v>344</v>
      </c>
      <c r="E37" s="210">
        <f t="shared" si="0"/>
        <v>315</v>
      </c>
      <c r="F37" s="218">
        <v>509</v>
      </c>
      <c r="G37" s="218">
        <f t="shared" si="1"/>
        <v>-118</v>
      </c>
      <c r="H37" s="221">
        <f t="shared" si="17"/>
        <v>-18.82</v>
      </c>
      <c r="I37" s="594" t="s">
        <v>156</v>
      </c>
      <c r="J37" s="218"/>
      <c r="K37" s="218"/>
      <c r="L37" s="218"/>
      <c r="M37" s="218"/>
      <c r="N37" s="218"/>
      <c r="O37" s="220">
        <f t="shared" si="14"/>
        <v>0</v>
      </c>
      <c r="P37" s="555"/>
    </row>
    <row r="38" s="197" customFormat="1" ht="26.25" customHeight="1" spans="1:16">
      <c r="A38" s="594" t="s">
        <v>157</v>
      </c>
      <c r="B38" s="550">
        <v>84</v>
      </c>
      <c r="C38" s="218"/>
      <c r="D38" s="218">
        <v>65</v>
      </c>
      <c r="E38" s="210">
        <f t="shared" si="0"/>
        <v>115</v>
      </c>
      <c r="F38" s="218">
        <v>115</v>
      </c>
      <c r="G38" s="218">
        <f t="shared" si="1"/>
        <v>31</v>
      </c>
      <c r="H38" s="221">
        <f t="shared" si="17"/>
        <v>36.9</v>
      </c>
      <c r="I38" s="594" t="s">
        <v>158</v>
      </c>
      <c r="J38" s="218"/>
      <c r="K38" s="218"/>
      <c r="L38" s="218"/>
      <c r="M38" s="218"/>
      <c r="N38" s="218"/>
      <c r="O38" s="220">
        <f t="shared" si="14"/>
        <v>0</v>
      </c>
      <c r="P38" s="555"/>
    </row>
    <row r="39" s="197" customFormat="1" ht="26.25" customHeight="1" spans="1:16">
      <c r="A39" s="594" t="s">
        <v>159</v>
      </c>
      <c r="B39" s="550">
        <v>-273</v>
      </c>
      <c r="C39" s="218"/>
      <c r="D39" s="218"/>
      <c r="E39" s="210">
        <f t="shared" si="0"/>
        <v>0</v>
      </c>
      <c r="F39" s="218"/>
      <c r="G39" s="218">
        <f t="shared" si="1"/>
        <v>273</v>
      </c>
      <c r="H39" s="221"/>
      <c r="I39" s="216" t="s">
        <v>160</v>
      </c>
      <c r="J39" s="218"/>
      <c r="K39" s="218"/>
      <c r="L39" s="218"/>
      <c r="M39" s="218"/>
      <c r="N39" s="218"/>
      <c r="O39" s="220">
        <f t="shared" si="14"/>
        <v>0</v>
      </c>
      <c r="P39" s="555"/>
    </row>
    <row r="40" s="197" customFormat="1" ht="26.25" customHeight="1" spans="1:16">
      <c r="A40" s="594" t="s">
        <v>161</v>
      </c>
      <c r="B40" s="550">
        <v>971</v>
      </c>
      <c r="C40" s="218"/>
      <c r="D40" s="218"/>
      <c r="E40" s="210">
        <f t="shared" si="0"/>
        <v>0</v>
      </c>
      <c r="F40" s="218"/>
      <c r="G40" s="218">
        <f t="shared" si="1"/>
        <v>-971</v>
      </c>
      <c r="H40" s="221"/>
      <c r="I40" s="216"/>
      <c r="J40" s="218"/>
      <c r="K40" s="218"/>
      <c r="L40" s="218"/>
      <c r="M40" s="218"/>
      <c r="N40" s="218"/>
      <c r="O40" s="220">
        <f t="shared" si="14"/>
        <v>0</v>
      </c>
      <c r="P40" s="555"/>
    </row>
    <row r="41" s="197" customFormat="1" ht="26.25" customHeight="1" spans="1:16">
      <c r="A41" s="594" t="s">
        <v>162</v>
      </c>
      <c r="B41" s="550">
        <v>949</v>
      </c>
      <c r="C41" s="218"/>
      <c r="D41" s="218"/>
      <c r="E41" s="210">
        <f t="shared" si="0"/>
        <v>0</v>
      </c>
      <c r="F41" s="218"/>
      <c r="G41" s="218">
        <f t="shared" si="1"/>
        <v>-949</v>
      </c>
      <c r="H41" s="221"/>
      <c r="I41" s="216"/>
      <c r="J41" s="218"/>
      <c r="K41" s="218"/>
      <c r="L41" s="218"/>
      <c r="M41" s="218"/>
      <c r="N41" s="218"/>
      <c r="O41" s="220">
        <f t="shared" si="14"/>
        <v>0</v>
      </c>
      <c r="P41" s="555"/>
    </row>
    <row r="42" s="197" customFormat="1" ht="26.25" customHeight="1" spans="1:16">
      <c r="A42" s="224" t="s">
        <v>163</v>
      </c>
      <c r="B42" s="550">
        <v>1047</v>
      </c>
      <c r="C42" s="218">
        <v>5614</v>
      </c>
      <c r="D42" s="218">
        <v>2060</v>
      </c>
      <c r="E42" s="210">
        <f t="shared" si="0"/>
        <v>-4373</v>
      </c>
      <c r="F42" s="218">
        <v>1241</v>
      </c>
      <c r="G42" s="218">
        <f t="shared" si="1"/>
        <v>194</v>
      </c>
      <c r="H42" s="221">
        <f t="shared" ref="H42:H44" si="18">G42/B42*100</f>
        <v>18.53</v>
      </c>
      <c r="I42" s="216"/>
      <c r="J42" s="218"/>
      <c r="K42" s="218"/>
      <c r="L42" s="218"/>
      <c r="M42" s="218"/>
      <c r="N42" s="218"/>
      <c r="O42" s="220">
        <f t="shared" si="14"/>
        <v>0</v>
      </c>
      <c r="P42" s="555"/>
    </row>
    <row r="43" s="197" customFormat="1" ht="26.25" customHeight="1" spans="1:16">
      <c r="A43" s="229" t="s">
        <v>164</v>
      </c>
      <c r="B43" s="210">
        <f t="shared" ref="B43:F43" si="19">SUM(B44:B64)</f>
        <v>39021</v>
      </c>
      <c r="C43" s="210">
        <f t="shared" si="19"/>
        <v>24662</v>
      </c>
      <c r="D43" s="210">
        <f t="shared" si="19"/>
        <v>21073</v>
      </c>
      <c r="E43" s="210">
        <f t="shared" si="0"/>
        <v>316</v>
      </c>
      <c r="F43" s="210">
        <f t="shared" si="19"/>
        <v>24978</v>
      </c>
      <c r="G43" s="210">
        <f t="shared" si="1"/>
        <v>-14043</v>
      </c>
      <c r="H43" s="221">
        <f t="shared" si="18"/>
        <v>-35.99</v>
      </c>
      <c r="I43" s="215" t="s">
        <v>165</v>
      </c>
      <c r="J43" s="210">
        <f t="shared" ref="J43:N43" si="20">SUM(J44:J64)</f>
        <v>0</v>
      </c>
      <c r="K43" s="210">
        <f t="shared" si="20"/>
        <v>0</v>
      </c>
      <c r="L43" s="210"/>
      <c r="M43" s="210"/>
      <c r="N43" s="210">
        <f t="shared" si="20"/>
        <v>0</v>
      </c>
      <c r="O43" s="213">
        <f t="shared" si="14"/>
        <v>0</v>
      </c>
      <c r="P43" s="554"/>
    </row>
    <row r="44" s="197" customFormat="1" ht="26.25" customHeight="1" spans="1:16">
      <c r="A44" s="224" t="s">
        <v>166</v>
      </c>
      <c r="B44" s="550">
        <v>187</v>
      </c>
      <c r="C44" s="218">
        <v>75</v>
      </c>
      <c r="D44" s="218">
        <v>76</v>
      </c>
      <c r="E44" s="210">
        <f t="shared" si="0"/>
        <v>1</v>
      </c>
      <c r="F44" s="218">
        <v>76</v>
      </c>
      <c r="G44" s="218">
        <f t="shared" si="1"/>
        <v>-111</v>
      </c>
      <c r="H44" s="221">
        <f t="shared" si="18"/>
        <v>-59.36</v>
      </c>
      <c r="I44" s="216" t="s">
        <v>166</v>
      </c>
      <c r="J44" s="218"/>
      <c r="K44" s="218"/>
      <c r="L44" s="218"/>
      <c r="M44" s="218"/>
      <c r="N44" s="218"/>
      <c r="O44" s="220">
        <f t="shared" si="14"/>
        <v>0</v>
      </c>
      <c r="P44" s="555"/>
    </row>
    <row r="45" s="197" customFormat="1" ht="26.25" customHeight="1" spans="1:16">
      <c r="A45" s="224" t="s">
        <v>167</v>
      </c>
      <c r="B45" s="218"/>
      <c r="C45" s="218"/>
      <c r="D45" s="218"/>
      <c r="E45" s="210">
        <f t="shared" si="0"/>
        <v>0</v>
      </c>
      <c r="F45" s="218">
        <v>0</v>
      </c>
      <c r="G45" s="218">
        <f t="shared" si="1"/>
        <v>0</v>
      </c>
      <c r="H45" s="221"/>
      <c r="I45" s="216" t="s">
        <v>167</v>
      </c>
      <c r="J45" s="218"/>
      <c r="K45" s="218"/>
      <c r="L45" s="218"/>
      <c r="M45" s="218"/>
      <c r="N45" s="218"/>
      <c r="O45" s="220">
        <f t="shared" si="14"/>
        <v>0</v>
      </c>
      <c r="P45" s="555"/>
    </row>
    <row r="46" s="197" customFormat="1" ht="26.25" customHeight="1" spans="1:16">
      <c r="A46" s="224" t="s">
        <v>168</v>
      </c>
      <c r="B46" s="218"/>
      <c r="C46" s="218"/>
      <c r="D46" s="218"/>
      <c r="E46" s="210">
        <f t="shared" si="0"/>
        <v>0</v>
      </c>
      <c r="F46" s="218">
        <v>0</v>
      </c>
      <c r="G46" s="218">
        <f t="shared" si="1"/>
        <v>0</v>
      </c>
      <c r="H46" s="221"/>
      <c r="I46" s="216" t="s">
        <v>168</v>
      </c>
      <c r="J46" s="218"/>
      <c r="K46" s="218"/>
      <c r="L46" s="218"/>
      <c r="M46" s="218"/>
      <c r="N46" s="218"/>
      <c r="O46" s="220">
        <f t="shared" si="14"/>
        <v>0</v>
      </c>
      <c r="P46" s="555"/>
    </row>
    <row r="47" s="197" customFormat="1" ht="26.25" customHeight="1" spans="1:16">
      <c r="A47" s="224" t="s">
        <v>169</v>
      </c>
      <c r="B47" s="218"/>
      <c r="C47" s="218"/>
      <c r="D47" s="218"/>
      <c r="E47" s="210">
        <f t="shared" si="0"/>
        <v>0</v>
      </c>
      <c r="F47" s="218">
        <v>0</v>
      </c>
      <c r="G47" s="218">
        <f t="shared" si="1"/>
        <v>0</v>
      </c>
      <c r="H47" s="221"/>
      <c r="I47" s="216" t="s">
        <v>169</v>
      </c>
      <c r="J47" s="218"/>
      <c r="K47" s="218"/>
      <c r="L47" s="218"/>
      <c r="M47" s="218"/>
      <c r="N47" s="218"/>
      <c r="O47" s="220">
        <f t="shared" si="14"/>
        <v>0</v>
      </c>
      <c r="P47" s="555"/>
    </row>
    <row r="48" s="197" customFormat="1" ht="26.25" customHeight="1" spans="1:16">
      <c r="A48" s="224" t="s">
        <v>170</v>
      </c>
      <c r="B48" s="550">
        <v>1594</v>
      </c>
      <c r="C48" s="148">
        <v>1000</v>
      </c>
      <c r="D48" s="148"/>
      <c r="E48" s="210">
        <f t="shared" si="0"/>
        <v>-1000</v>
      </c>
      <c r="F48" s="148">
        <v>0</v>
      </c>
      <c r="G48" s="218">
        <f t="shared" si="1"/>
        <v>-1594</v>
      </c>
      <c r="H48" s="221">
        <f t="shared" ref="H48:H61" si="21">G48/B48*100</f>
        <v>-100</v>
      </c>
      <c r="I48" s="216" t="s">
        <v>170</v>
      </c>
      <c r="J48" s="218"/>
      <c r="K48" s="218"/>
      <c r="L48" s="218"/>
      <c r="M48" s="218"/>
      <c r="N48" s="218"/>
      <c r="O48" s="220">
        <f t="shared" si="14"/>
        <v>0</v>
      </c>
      <c r="P48" s="555"/>
    </row>
    <row r="49" s="197" customFormat="1" ht="26.25" customHeight="1" spans="1:16">
      <c r="A49" s="224" t="s">
        <v>171</v>
      </c>
      <c r="B49" s="100"/>
      <c r="C49" s="148"/>
      <c r="D49" s="148"/>
      <c r="E49" s="210">
        <f t="shared" si="0"/>
        <v>0</v>
      </c>
      <c r="F49" s="148">
        <v>0</v>
      </c>
      <c r="G49" s="218">
        <f t="shared" si="1"/>
        <v>0</v>
      </c>
      <c r="H49" s="221" t="e">
        <f t="shared" si="21"/>
        <v>#DIV/0!</v>
      </c>
      <c r="I49" s="216" t="s">
        <v>171</v>
      </c>
      <c r="J49" s="218"/>
      <c r="K49" s="218"/>
      <c r="L49" s="218"/>
      <c r="M49" s="218"/>
      <c r="N49" s="218"/>
      <c r="O49" s="220">
        <f t="shared" si="14"/>
        <v>0</v>
      </c>
      <c r="P49" s="555"/>
    </row>
    <row r="50" s="197" customFormat="1" ht="26.25" customHeight="1" spans="1:16">
      <c r="A50" s="594" t="s">
        <v>172</v>
      </c>
      <c r="B50" s="550">
        <v>3260</v>
      </c>
      <c r="C50" s="36">
        <v>2000</v>
      </c>
      <c r="D50" s="36"/>
      <c r="E50" s="210">
        <f t="shared" si="0"/>
        <v>-1000</v>
      </c>
      <c r="F50" s="36">
        <v>1000</v>
      </c>
      <c r="G50" s="218">
        <f t="shared" si="1"/>
        <v>-2260</v>
      </c>
      <c r="H50" s="221">
        <f t="shared" si="21"/>
        <v>-69.33</v>
      </c>
      <c r="I50" s="216" t="s">
        <v>173</v>
      </c>
      <c r="J50" s="218"/>
      <c r="K50" s="218"/>
      <c r="L50" s="218"/>
      <c r="M50" s="218"/>
      <c r="N50" s="218"/>
      <c r="O50" s="220">
        <f t="shared" si="14"/>
        <v>0</v>
      </c>
      <c r="P50" s="555"/>
    </row>
    <row r="51" s="197" customFormat="1" ht="26.25" customHeight="1" spans="1:16">
      <c r="A51" s="224" t="s">
        <v>174</v>
      </c>
      <c r="B51" s="550">
        <v>291</v>
      </c>
      <c r="C51" s="36">
        <v>178</v>
      </c>
      <c r="D51" s="36">
        <v>178</v>
      </c>
      <c r="E51" s="210">
        <f t="shared" si="0"/>
        <v>-110</v>
      </c>
      <c r="F51" s="36">
        <v>68</v>
      </c>
      <c r="G51" s="218">
        <f t="shared" si="1"/>
        <v>-223</v>
      </c>
      <c r="H51" s="221">
        <f t="shared" si="21"/>
        <v>-76.63</v>
      </c>
      <c r="I51" s="216" t="s">
        <v>174</v>
      </c>
      <c r="J51" s="218"/>
      <c r="K51" s="218"/>
      <c r="L51" s="218"/>
      <c r="M51" s="218"/>
      <c r="N51" s="218"/>
      <c r="O51" s="220">
        <f t="shared" si="14"/>
        <v>0</v>
      </c>
      <c r="P51" s="555"/>
    </row>
    <row r="52" s="197" customFormat="1" ht="26.25" customHeight="1" spans="1:16">
      <c r="A52" s="594" t="s">
        <v>175</v>
      </c>
      <c r="B52" s="550">
        <v>1314</v>
      </c>
      <c r="C52" s="36">
        <v>253</v>
      </c>
      <c r="D52" s="36">
        <v>286</v>
      </c>
      <c r="E52" s="210">
        <f t="shared" si="0"/>
        <v>33</v>
      </c>
      <c r="F52" s="36">
        <v>286</v>
      </c>
      <c r="G52" s="218">
        <f t="shared" si="1"/>
        <v>-1028</v>
      </c>
      <c r="H52" s="221">
        <f t="shared" si="21"/>
        <v>-78.23</v>
      </c>
      <c r="I52" s="216" t="s">
        <v>176</v>
      </c>
      <c r="J52" s="218"/>
      <c r="K52" s="218"/>
      <c r="L52" s="218"/>
      <c r="M52" s="218"/>
      <c r="N52" s="218"/>
      <c r="O52" s="220">
        <f t="shared" si="14"/>
        <v>0</v>
      </c>
      <c r="P52" s="555"/>
    </row>
    <row r="53" s="197" customFormat="1" ht="26.25" customHeight="1" spans="1:16">
      <c r="A53" s="224" t="s">
        <v>177</v>
      </c>
      <c r="B53" s="550">
        <v>1785</v>
      </c>
      <c r="C53" s="36">
        <v>118</v>
      </c>
      <c r="D53" s="36">
        <v>191</v>
      </c>
      <c r="E53" s="210">
        <f t="shared" si="0"/>
        <v>492</v>
      </c>
      <c r="F53" s="36">
        <v>610</v>
      </c>
      <c r="G53" s="218">
        <f t="shared" si="1"/>
        <v>-1175</v>
      </c>
      <c r="H53" s="221">
        <f t="shared" si="21"/>
        <v>-65.83</v>
      </c>
      <c r="I53" s="216" t="s">
        <v>177</v>
      </c>
      <c r="J53" s="218"/>
      <c r="K53" s="218"/>
      <c r="L53" s="218"/>
      <c r="M53" s="218"/>
      <c r="N53" s="218"/>
      <c r="O53" s="220">
        <f t="shared" si="14"/>
        <v>0</v>
      </c>
      <c r="P53" s="555"/>
    </row>
    <row r="54" s="197" customFormat="1" ht="26.25" customHeight="1" spans="1:16">
      <c r="A54" s="224" t="s">
        <v>178</v>
      </c>
      <c r="B54" s="550">
        <v>1877</v>
      </c>
      <c r="C54" s="36"/>
      <c r="D54" s="36">
        <v>50</v>
      </c>
      <c r="E54" s="210">
        <f t="shared" si="0"/>
        <v>207</v>
      </c>
      <c r="F54" s="36">
        <v>207</v>
      </c>
      <c r="G54" s="218">
        <f t="shared" si="1"/>
        <v>-1670</v>
      </c>
      <c r="H54" s="221">
        <f t="shared" si="21"/>
        <v>-88.97</v>
      </c>
      <c r="I54" s="216" t="s">
        <v>178</v>
      </c>
      <c r="J54" s="218"/>
      <c r="K54" s="218"/>
      <c r="L54" s="218"/>
      <c r="M54" s="218"/>
      <c r="N54" s="218"/>
      <c r="O54" s="220">
        <f t="shared" si="14"/>
        <v>0</v>
      </c>
      <c r="P54" s="555"/>
    </row>
    <row r="55" s="197" customFormat="1" ht="26.25" customHeight="1" spans="1:16">
      <c r="A55" s="224" t="s">
        <v>179</v>
      </c>
      <c r="B55" s="550">
        <v>24325</v>
      </c>
      <c r="C55" s="36">
        <v>18926</v>
      </c>
      <c r="D55" s="36">
        <v>17043</v>
      </c>
      <c r="E55" s="210">
        <f t="shared" si="0"/>
        <v>251</v>
      </c>
      <c r="F55" s="36">
        <v>19177</v>
      </c>
      <c r="G55" s="218">
        <f t="shared" si="1"/>
        <v>-5148</v>
      </c>
      <c r="H55" s="221">
        <f t="shared" si="21"/>
        <v>-21.16</v>
      </c>
      <c r="I55" s="216" t="s">
        <v>179</v>
      </c>
      <c r="J55" s="218"/>
      <c r="K55" s="218"/>
      <c r="L55" s="218"/>
      <c r="M55" s="218"/>
      <c r="N55" s="218"/>
      <c r="O55" s="220">
        <f t="shared" si="14"/>
        <v>0</v>
      </c>
      <c r="P55" s="555"/>
    </row>
    <row r="56" s="197" customFormat="1" ht="26.25" customHeight="1" spans="1:16">
      <c r="A56" s="224" t="s">
        <v>180</v>
      </c>
      <c r="B56" s="550">
        <v>213</v>
      </c>
      <c r="C56" s="148">
        <v>87</v>
      </c>
      <c r="D56" s="148">
        <v>200</v>
      </c>
      <c r="E56" s="210">
        <f t="shared" si="0"/>
        <v>345</v>
      </c>
      <c r="F56" s="148">
        <v>432</v>
      </c>
      <c r="G56" s="218">
        <f t="shared" si="1"/>
        <v>219</v>
      </c>
      <c r="H56" s="221">
        <f t="shared" si="21"/>
        <v>102.82</v>
      </c>
      <c r="I56" s="224" t="s">
        <v>180</v>
      </c>
      <c r="J56" s="218"/>
      <c r="K56" s="218"/>
      <c r="L56" s="218"/>
      <c r="M56" s="218"/>
      <c r="N56" s="218"/>
      <c r="O56" s="220">
        <f t="shared" si="14"/>
        <v>0</v>
      </c>
      <c r="P56" s="555"/>
    </row>
    <row r="57" s="197" customFormat="1" ht="26.25" customHeight="1" spans="1:16">
      <c r="A57" s="224" t="s">
        <v>181</v>
      </c>
      <c r="B57" s="550">
        <v>342</v>
      </c>
      <c r="C57" s="218"/>
      <c r="D57" s="218">
        <v>193</v>
      </c>
      <c r="E57" s="210">
        <f t="shared" si="0"/>
        <v>221</v>
      </c>
      <c r="F57" s="218">
        <v>221</v>
      </c>
      <c r="G57" s="218">
        <f t="shared" si="1"/>
        <v>-121</v>
      </c>
      <c r="H57" s="221">
        <f t="shared" si="21"/>
        <v>-35.38</v>
      </c>
      <c r="I57" s="224" t="s">
        <v>181</v>
      </c>
      <c r="J57" s="218"/>
      <c r="K57" s="218"/>
      <c r="L57" s="218"/>
      <c r="M57" s="218"/>
      <c r="N57" s="218"/>
      <c r="O57" s="220">
        <f t="shared" si="14"/>
        <v>0</v>
      </c>
      <c r="P57" s="555"/>
    </row>
    <row r="58" s="197" customFormat="1" ht="26.25" customHeight="1" spans="1:16">
      <c r="A58" s="224" t="s">
        <v>182</v>
      </c>
      <c r="B58" s="550">
        <v>366</v>
      </c>
      <c r="C58" s="218"/>
      <c r="D58" s="218"/>
      <c r="E58" s="210">
        <f t="shared" si="0"/>
        <v>0</v>
      </c>
      <c r="F58" s="218">
        <v>0</v>
      </c>
      <c r="G58" s="218">
        <f t="shared" si="1"/>
        <v>-366</v>
      </c>
      <c r="H58" s="221">
        <f t="shared" si="21"/>
        <v>-100</v>
      </c>
      <c r="I58" s="224" t="s">
        <v>182</v>
      </c>
      <c r="J58" s="218"/>
      <c r="K58" s="218"/>
      <c r="L58" s="218"/>
      <c r="M58" s="218"/>
      <c r="N58" s="218"/>
      <c r="O58" s="220">
        <f t="shared" si="14"/>
        <v>0</v>
      </c>
      <c r="P58" s="555"/>
    </row>
    <row r="59" s="197" customFormat="1" ht="26.25" customHeight="1" spans="1:16">
      <c r="A59" s="224" t="s">
        <v>183</v>
      </c>
      <c r="B59" s="550">
        <v>727</v>
      </c>
      <c r="C59" s="218"/>
      <c r="D59" s="218">
        <v>428</v>
      </c>
      <c r="E59" s="210">
        <f t="shared" si="0"/>
        <v>543</v>
      </c>
      <c r="F59" s="218">
        <v>543</v>
      </c>
      <c r="G59" s="218">
        <f t="shared" si="1"/>
        <v>-184</v>
      </c>
      <c r="H59" s="221">
        <f t="shared" si="21"/>
        <v>-25.31</v>
      </c>
      <c r="I59" s="224" t="s">
        <v>183</v>
      </c>
      <c r="J59" s="218"/>
      <c r="K59" s="218"/>
      <c r="L59" s="218"/>
      <c r="M59" s="218"/>
      <c r="N59" s="218"/>
      <c r="O59" s="220">
        <f t="shared" si="14"/>
        <v>0</v>
      </c>
      <c r="P59" s="555"/>
    </row>
    <row r="60" s="197" customFormat="1" ht="26.25" customHeight="1" spans="1:16">
      <c r="A60" s="594" t="s">
        <v>184</v>
      </c>
      <c r="B60" s="550">
        <v>951</v>
      </c>
      <c r="C60" s="218">
        <v>56</v>
      </c>
      <c r="D60" s="218">
        <v>56</v>
      </c>
      <c r="E60" s="210">
        <f t="shared" si="0"/>
        <v>0</v>
      </c>
      <c r="F60" s="218">
        <v>56</v>
      </c>
      <c r="G60" s="218">
        <f t="shared" si="1"/>
        <v>-895</v>
      </c>
      <c r="H60" s="221">
        <f t="shared" si="21"/>
        <v>-94.11</v>
      </c>
      <c r="I60" s="224" t="s">
        <v>185</v>
      </c>
      <c r="J60" s="218"/>
      <c r="K60" s="218"/>
      <c r="L60" s="218"/>
      <c r="M60" s="218"/>
      <c r="N60" s="218"/>
      <c r="O60" s="220">
        <f t="shared" si="14"/>
        <v>0</v>
      </c>
      <c r="P60" s="555"/>
    </row>
    <row r="61" s="197" customFormat="1" ht="26.25" customHeight="1" spans="1:16">
      <c r="A61" s="224" t="s">
        <v>186</v>
      </c>
      <c r="B61" s="100">
        <v>100</v>
      </c>
      <c r="C61" s="218">
        <v>70</v>
      </c>
      <c r="D61" s="218">
        <v>388</v>
      </c>
      <c r="E61" s="210">
        <f t="shared" si="0"/>
        <v>248</v>
      </c>
      <c r="F61" s="218">
        <v>318</v>
      </c>
      <c r="G61" s="218">
        <f t="shared" si="1"/>
        <v>218</v>
      </c>
      <c r="H61" s="221">
        <f t="shared" si="21"/>
        <v>218</v>
      </c>
      <c r="I61" s="224" t="s">
        <v>186</v>
      </c>
      <c r="J61" s="218"/>
      <c r="K61" s="218"/>
      <c r="L61" s="218"/>
      <c r="M61" s="218"/>
      <c r="N61" s="218"/>
      <c r="O61" s="220">
        <f t="shared" si="14"/>
        <v>0</v>
      </c>
      <c r="P61" s="555"/>
    </row>
    <row r="62" s="197" customFormat="1" ht="26.25" customHeight="1" spans="1:16">
      <c r="A62" s="224" t="s">
        <v>187</v>
      </c>
      <c r="B62" s="218"/>
      <c r="C62" s="218">
        <v>30</v>
      </c>
      <c r="D62" s="218">
        <v>30</v>
      </c>
      <c r="E62" s="210">
        <f t="shared" si="0"/>
        <v>0</v>
      </c>
      <c r="F62" s="218">
        <v>30</v>
      </c>
      <c r="G62" s="218">
        <f t="shared" si="1"/>
        <v>30</v>
      </c>
      <c r="H62" s="221"/>
      <c r="I62" s="224" t="s">
        <v>187</v>
      </c>
      <c r="J62" s="218"/>
      <c r="K62" s="218"/>
      <c r="L62" s="218"/>
      <c r="M62" s="218"/>
      <c r="N62" s="218"/>
      <c r="O62" s="220">
        <f t="shared" si="14"/>
        <v>0</v>
      </c>
      <c r="P62" s="555"/>
    </row>
    <row r="63" s="197" customFormat="1" ht="26.25" customHeight="1" spans="1:16">
      <c r="A63" s="224" t="s">
        <v>188</v>
      </c>
      <c r="B63" s="550">
        <v>1809</v>
      </c>
      <c r="C63" s="218">
        <v>1869</v>
      </c>
      <c r="D63" s="218">
        <v>1954</v>
      </c>
      <c r="E63" s="210">
        <f t="shared" si="0"/>
        <v>85</v>
      </c>
      <c r="F63" s="218">
        <v>1954</v>
      </c>
      <c r="G63" s="218">
        <f t="shared" si="1"/>
        <v>145</v>
      </c>
      <c r="H63" s="221">
        <f t="shared" ref="H63:H69" si="22">G63/B63*100</f>
        <v>8.02</v>
      </c>
      <c r="I63" s="224" t="s">
        <v>188</v>
      </c>
      <c r="J63" s="218"/>
      <c r="K63" s="218"/>
      <c r="L63" s="218"/>
      <c r="M63" s="218"/>
      <c r="N63" s="218"/>
      <c r="O63" s="220">
        <f t="shared" si="14"/>
        <v>0</v>
      </c>
      <c r="P63" s="555"/>
    </row>
    <row r="64" s="197" customFormat="1" ht="26.25" customHeight="1" spans="1:16">
      <c r="A64" s="595" t="s">
        <v>189</v>
      </c>
      <c r="B64" s="550">
        <v>-120</v>
      </c>
      <c r="C64" s="218"/>
      <c r="D64" s="218"/>
      <c r="E64" s="210">
        <f t="shared" si="0"/>
        <v>0</v>
      </c>
      <c r="F64" s="218"/>
      <c r="G64" s="218">
        <f t="shared" si="1"/>
        <v>120</v>
      </c>
      <c r="H64" s="221">
        <f t="shared" si="22"/>
        <v>-100</v>
      </c>
      <c r="I64" s="216" t="s">
        <v>189</v>
      </c>
      <c r="J64" s="218"/>
      <c r="K64" s="218"/>
      <c r="L64" s="218"/>
      <c r="M64" s="218"/>
      <c r="N64" s="218"/>
      <c r="O64" s="220">
        <f t="shared" si="14"/>
        <v>0</v>
      </c>
      <c r="P64" s="555"/>
    </row>
    <row r="65" s="197" customFormat="1" ht="26.25" customHeight="1" spans="1:16">
      <c r="A65" s="596" t="s">
        <v>190</v>
      </c>
      <c r="B65" s="210">
        <f t="shared" ref="B65:F65" si="23">SUM(B66:B67)</f>
        <v>10865</v>
      </c>
      <c r="C65" s="210">
        <f t="shared" si="23"/>
        <v>8152</v>
      </c>
      <c r="D65" s="210">
        <f t="shared" si="23"/>
        <v>200</v>
      </c>
      <c r="E65" s="210">
        <f t="shared" si="0"/>
        <v>-7952</v>
      </c>
      <c r="F65" s="210">
        <f t="shared" si="23"/>
        <v>200</v>
      </c>
      <c r="G65" s="210">
        <f t="shared" si="1"/>
        <v>-10665</v>
      </c>
      <c r="H65" s="212">
        <f t="shared" si="22"/>
        <v>-98.16</v>
      </c>
      <c r="I65" s="215" t="s">
        <v>191</v>
      </c>
      <c r="J65" s="210"/>
      <c r="K65" s="210"/>
      <c r="L65" s="210"/>
      <c r="M65" s="210"/>
      <c r="N65" s="210"/>
      <c r="O65" s="213">
        <f t="shared" si="14"/>
        <v>0</v>
      </c>
      <c r="P65" s="554"/>
    </row>
    <row r="66" s="197" customFormat="1" ht="26.25" customHeight="1" spans="1:16">
      <c r="A66" s="597" t="s">
        <v>192</v>
      </c>
      <c r="B66" s="218">
        <v>10665</v>
      </c>
      <c r="C66" s="218">
        <v>8152</v>
      </c>
      <c r="D66" s="218"/>
      <c r="E66" s="210">
        <f t="shared" si="0"/>
        <v>-8152</v>
      </c>
      <c r="F66" s="218"/>
      <c r="G66" s="218">
        <f t="shared" si="1"/>
        <v>-10665</v>
      </c>
      <c r="H66" s="221">
        <f t="shared" si="22"/>
        <v>-100</v>
      </c>
      <c r="I66" s="216"/>
      <c r="J66" s="218"/>
      <c r="K66" s="218"/>
      <c r="L66" s="218"/>
      <c r="M66" s="218"/>
      <c r="N66" s="218"/>
      <c r="O66" s="220">
        <f t="shared" si="14"/>
        <v>0</v>
      </c>
      <c r="P66" s="555"/>
    </row>
    <row r="67" s="197" customFormat="1" ht="26.25" customHeight="1" spans="1:16">
      <c r="A67" s="597" t="s">
        <v>193</v>
      </c>
      <c r="B67" s="218">
        <v>200</v>
      </c>
      <c r="C67" s="218"/>
      <c r="D67" s="218">
        <v>200</v>
      </c>
      <c r="E67" s="210">
        <f t="shared" si="0"/>
        <v>200</v>
      </c>
      <c r="F67" s="218">
        <v>200</v>
      </c>
      <c r="G67" s="218">
        <f t="shared" si="1"/>
        <v>0</v>
      </c>
      <c r="H67" s="221">
        <f t="shared" si="22"/>
        <v>0</v>
      </c>
      <c r="I67" s="216"/>
      <c r="J67" s="218"/>
      <c r="K67" s="218"/>
      <c r="L67" s="218"/>
      <c r="M67" s="218"/>
      <c r="N67" s="218"/>
      <c r="O67" s="220">
        <f t="shared" si="14"/>
        <v>0</v>
      </c>
      <c r="P67" s="555"/>
    </row>
    <row r="68" s="197" customFormat="1" ht="26.25" customHeight="1" spans="1:16">
      <c r="A68" s="591" t="s">
        <v>194</v>
      </c>
      <c r="B68" s="210">
        <f t="shared" ref="B68:F68" si="24">SUM(B69:B72)</f>
        <v>48396</v>
      </c>
      <c r="C68" s="210">
        <f t="shared" si="24"/>
        <v>0</v>
      </c>
      <c r="D68" s="210">
        <f t="shared" si="24"/>
        <v>870</v>
      </c>
      <c r="E68" s="210">
        <f t="shared" si="0"/>
        <v>13978</v>
      </c>
      <c r="F68" s="210">
        <f t="shared" si="24"/>
        <v>13978</v>
      </c>
      <c r="G68" s="210">
        <f t="shared" si="1"/>
        <v>-34418</v>
      </c>
      <c r="H68" s="212">
        <f t="shared" si="22"/>
        <v>-71.12</v>
      </c>
      <c r="I68" s="235" t="s">
        <v>195</v>
      </c>
      <c r="J68" s="210">
        <f t="shared" ref="J68:L68" si="25">SUM(J69:J73)</f>
        <v>32943</v>
      </c>
      <c r="K68" s="210">
        <f t="shared" si="25"/>
        <v>1400</v>
      </c>
      <c r="L68" s="210">
        <f t="shared" si="25"/>
        <v>2459</v>
      </c>
      <c r="M68" s="210">
        <f t="shared" ref="M68:M72" si="26">N68-L68</f>
        <v>12042</v>
      </c>
      <c r="N68" s="210">
        <f>SUM(N69:N73)</f>
        <v>14501</v>
      </c>
      <c r="O68" s="210">
        <f>SUM(O69:O73)</f>
        <v>-18442</v>
      </c>
      <c r="P68" s="554">
        <f>O68/J68*100</f>
        <v>-55.98</v>
      </c>
    </row>
    <row r="69" s="197" customFormat="1" ht="26.25" customHeight="1" spans="1:16">
      <c r="A69" s="216" t="s">
        <v>196</v>
      </c>
      <c r="B69" s="218"/>
      <c r="C69" s="218"/>
      <c r="D69" s="218"/>
      <c r="E69" s="210">
        <f t="shared" ref="E69:E78" si="27">F69-C69</f>
        <v>13077</v>
      </c>
      <c r="F69" s="218">
        <v>13077</v>
      </c>
      <c r="G69" s="218">
        <f t="shared" ref="G69:G80" si="28">F69-B69</f>
        <v>13077</v>
      </c>
      <c r="H69" s="221" t="e">
        <f t="shared" si="22"/>
        <v>#DIV/0!</v>
      </c>
      <c r="I69" s="597" t="s">
        <v>197</v>
      </c>
      <c r="J69" s="218">
        <v>22600</v>
      </c>
      <c r="K69" s="218">
        <v>1400</v>
      </c>
      <c r="L69" s="218">
        <v>2459</v>
      </c>
      <c r="M69" s="210">
        <f t="shared" si="26"/>
        <v>11141</v>
      </c>
      <c r="N69" s="218">
        <v>13600</v>
      </c>
      <c r="O69" s="220">
        <f t="shared" ref="O69:O72" si="29">N69-J69</f>
        <v>-9000</v>
      </c>
      <c r="P69" s="555">
        <f>O69/J69*100</f>
        <v>-39.82</v>
      </c>
    </row>
    <row r="70" s="197" customFormat="1" ht="26.25" customHeight="1" spans="1:16">
      <c r="A70" s="598" t="s">
        <v>198</v>
      </c>
      <c r="B70" s="218"/>
      <c r="C70" s="218"/>
      <c r="D70" s="218"/>
      <c r="E70" s="210">
        <f t="shared" si="27"/>
        <v>0</v>
      </c>
      <c r="F70" s="218"/>
      <c r="G70" s="218">
        <f t="shared" si="28"/>
        <v>0</v>
      </c>
      <c r="H70" s="221"/>
      <c r="I70" s="216" t="s">
        <v>199</v>
      </c>
      <c r="J70" s="218"/>
      <c r="K70" s="218"/>
      <c r="L70" s="218"/>
      <c r="M70" s="210">
        <f t="shared" si="26"/>
        <v>0</v>
      </c>
      <c r="N70" s="218"/>
      <c r="O70" s="220">
        <f t="shared" si="29"/>
        <v>0</v>
      </c>
      <c r="P70" s="555"/>
    </row>
    <row r="71" s="197" customFormat="1" ht="26.25" customHeight="1" spans="1:16">
      <c r="A71" s="598" t="s">
        <v>200</v>
      </c>
      <c r="B71" s="218"/>
      <c r="C71" s="218"/>
      <c r="D71" s="218"/>
      <c r="E71" s="210"/>
      <c r="F71" s="218"/>
      <c r="G71" s="218"/>
      <c r="H71" s="221"/>
      <c r="I71" s="216" t="s">
        <v>201</v>
      </c>
      <c r="J71" s="218"/>
      <c r="K71" s="218"/>
      <c r="L71" s="218"/>
      <c r="M71" s="210">
        <f t="shared" si="26"/>
        <v>0</v>
      </c>
      <c r="N71" s="218"/>
      <c r="O71" s="220">
        <f t="shared" si="29"/>
        <v>0</v>
      </c>
      <c r="P71" s="555"/>
    </row>
    <row r="72" s="197" customFormat="1" ht="26.25" customHeight="1" spans="1:16">
      <c r="A72" s="598" t="s">
        <v>202</v>
      </c>
      <c r="B72" s="218">
        <v>48396</v>
      </c>
      <c r="C72" s="218"/>
      <c r="D72" s="218">
        <v>870</v>
      </c>
      <c r="E72" s="210">
        <f t="shared" si="27"/>
        <v>901</v>
      </c>
      <c r="F72" s="218">
        <v>901</v>
      </c>
      <c r="G72" s="218">
        <f t="shared" si="28"/>
        <v>-47495</v>
      </c>
      <c r="H72" s="221">
        <f t="shared" ref="H72:H78" si="30">G72/B72*100</f>
        <v>-98.14</v>
      </c>
      <c r="I72" s="216" t="s">
        <v>203</v>
      </c>
      <c r="J72" s="218">
        <v>10343</v>
      </c>
      <c r="K72" s="218"/>
      <c r="L72" s="218"/>
      <c r="M72" s="210">
        <f t="shared" si="26"/>
        <v>901</v>
      </c>
      <c r="N72" s="218">
        <v>901</v>
      </c>
      <c r="O72" s="220">
        <f t="shared" si="29"/>
        <v>-9442</v>
      </c>
      <c r="P72" s="555"/>
    </row>
    <row r="73" s="196" customFormat="1" ht="26.25" customHeight="1" spans="1:16">
      <c r="A73" s="229" t="s">
        <v>204</v>
      </c>
      <c r="B73" s="210"/>
      <c r="C73" s="210"/>
      <c r="D73" s="210"/>
      <c r="E73" s="210">
        <f t="shared" si="27"/>
        <v>0</v>
      </c>
      <c r="F73" s="210"/>
      <c r="G73" s="210">
        <f t="shared" si="28"/>
        <v>0</v>
      </c>
      <c r="H73" s="212"/>
      <c r="I73" s="216"/>
      <c r="J73" s="218"/>
      <c r="K73" s="218"/>
      <c r="L73" s="218"/>
      <c r="M73" s="210"/>
      <c r="N73" s="218"/>
      <c r="O73" s="220"/>
      <c r="P73" s="555"/>
    </row>
    <row r="74" s="196" customFormat="1" ht="26.25" customHeight="1" spans="1:16">
      <c r="A74" s="224" t="s">
        <v>205</v>
      </c>
      <c r="B74" s="218"/>
      <c r="C74" s="218"/>
      <c r="D74" s="218"/>
      <c r="E74" s="210">
        <f t="shared" si="27"/>
        <v>0</v>
      </c>
      <c r="F74" s="218"/>
      <c r="G74" s="218">
        <f t="shared" si="28"/>
        <v>0</v>
      </c>
      <c r="H74" s="221"/>
      <c r="I74" s="216"/>
      <c r="J74" s="236"/>
      <c r="K74" s="236"/>
      <c r="L74" s="236"/>
      <c r="M74" s="210">
        <f t="shared" ref="M74:M78" si="31">N74-L74</f>
        <v>0</v>
      </c>
      <c r="N74" s="236"/>
      <c r="O74" s="220">
        <f t="shared" ref="O74:O80" si="32">N74-J74</f>
        <v>0</v>
      </c>
      <c r="P74" s="555"/>
    </row>
    <row r="75" s="196" customFormat="1" ht="26.25" customHeight="1" spans="1:16">
      <c r="A75" s="218" t="s">
        <v>206</v>
      </c>
      <c r="B75" s="218"/>
      <c r="C75" s="218"/>
      <c r="D75" s="218"/>
      <c r="E75" s="210">
        <f t="shared" si="27"/>
        <v>0</v>
      </c>
      <c r="F75" s="218"/>
      <c r="G75" s="218">
        <f t="shared" si="28"/>
        <v>0</v>
      </c>
      <c r="H75" s="221"/>
      <c r="I75" s="216"/>
      <c r="J75" s="218"/>
      <c r="K75" s="218"/>
      <c r="L75" s="218"/>
      <c r="M75" s="210">
        <f t="shared" si="31"/>
        <v>0</v>
      </c>
      <c r="N75" s="218"/>
      <c r="O75" s="220">
        <f t="shared" si="32"/>
        <v>0</v>
      </c>
      <c r="P75" s="555"/>
    </row>
    <row r="76" s="196" customFormat="1" ht="26.25" customHeight="1" spans="1:16">
      <c r="A76" s="596" t="s">
        <v>207</v>
      </c>
      <c r="B76" s="210">
        <v>1877</v>
      </c>
      <c r="C76" s="210">
        <v>1513</v>
      </c>
      <c r="D76" s="210">
        <v>1513</v>
      </c>
      <c r="E76" s="210">
        <f t="shared" si="27"/>
        <v>0</v>
      </c>
      <c r="F76" s="210">
        <v>1513</v>
      </c>
      <c r="G76" s="210">
        <f t="shared" si="28"/>
        <v>-364</v>
      </c>
      <c r="H76" s="212">
        <f t="shared" si="30"/>
        <v>-19.39</v>
      </c>
      <c r="I76" s="596" t="s">
        <v>208</v>
      </c>
      <c r="J76" s="210">
        <v>1513</v>
      </c>
      <c r="K76" s="210"/>
      <c r="L76" s="210"/>
      <c r="M76" s="210">
        <f t="shared" si="31"/>
        <v>2151</v>
      </c>
      <c r="N76" s="210">
        <v>2151</v>
      </c>
      <c r="O76" s="213">
        <f t="shared" si="32"/>
        <v>638</v>
      </c>
      <c r="P76" s="554">
        <f t="shared" ref="P76:P78" si="33">O76/J76*100</f>
        <v>42.17</v>
      </c>
    </row>
    <row r="77" s="196" customFormat="1" ht="26.25" customHeight="1" spans="1:16">
      <c r="A77" s="214" t="s">
        <v>209</v>
      </c>
      <c r="B77" s="210">
        <f t="shared" ref="B77:F77" si="34">SUM(B78:B79)</f>
        <v>53383</v>
      </c>
      <c r="C77" s="210">
        <f t="shared" si="34"/>
        <v>74831</v>
      </c>
      <c r="D77" s="210">
        <f t="shared" si="34"/>
        <v>86680</v>
      </c>
      <c r="E77" s="210">
        <f t="shared" si="27"/>
        <v>11849</v>
      </c>
      <c r="F77" s="210">
        <f t="shared" si="34"/>
        <v>86680</v>
      </c>
      <c r="G77" s="210">
        <f t="shared" si="28"/>
        <v>33297</v>
      </c>
      <c r="H77" s="212">
        <f t="shared" si="30"/>
        <v>62.37</v>
      </c>
      <c r="I77" s="215" t="s">
        <v>210</v>
      </c>
      <c r="J77" s="210">
        <f t="shared" ref="J77:L77" si="35">SUM(J78:J79)</f>
        <v>86680</v>
      </c>
      <c r="K77" s="210">
        <f t="shared" si="35"/>
        <v>0</v>
      </c>
      <c r="L77" s="210">
        <f t="shared" si="35"/>
        <v>0</v>
      </c>
      <c r="M77" s="210">
        <f t="shared" si="31"/>
        <v>102871</v>
      </c>
      <c r="N77" s="210">
        <f>SUM(N78:N79)</f>
        <v>102871</v>
      </c>
      <c r="O77" s="213">
        <f t="shared" si="32"/>
        <v>16191</v>
      </c>
      <c r="P77" s="554">
        <f t="shared" si="33"/>
        <v>18.68</v>
      </c>
    </row>
    <row r="78" s="196" customFormat="1" ht="26.25" customHeight="1" spans="1:16">
      <c r="A78" s="219" t="s">
        <v>211</v>
      </c>
      <c r="B78" s="218">
        <v>53383</v>
      </c>
      <c r="C78" s="218">
        <v>74831</v>
      </c>
      <c r="D78" s="218">
        <v>86680</v>
      </c>
      <c r="E78" s="210">
        <f t="shared" si="27"/>
        <v>11849</v>
      </c>
      <c r="F78" s="218">
        <v>86680</v>
      </c>
      <c r="G78" s="218">
        <f t="shared" si="28"/>
        <v>33297</v>
      </c>
      <c r="H78" s="221">
        <f t="shared" si="30"/>
        <v>62.37</v>
      </c>
      <c r="I78" s="216" t="s">
        <v>212</v>
      </c>
      <c r="J78" s="218">
        <v>86680</v>
      </c>
      <c r="K78" s="218"/>
      <c r="L78" s="218"/>
      <c r="M78" s="210">
        <f t="shared" si="31"/>
        <v>102871</v>
      </c>
      <c r="N78" s="218">
        <v>102871</v>
      </c>
      <c r="O78" s="220">
        <f t="shared" si="32"/>
        <v>16191</v>
      </c>
      <c r="P78" s="555">
        <f t="shared" si="33"/>
        <v>18.68</v>
      </c>
    </row>
    <row r="79" s="196" customFormat="1" ht="26.25" customHeight="1" spans="1:16">
      <c r="A79" s="219" t="s">
        <v>213</v>
      </c>
      <c r="B79" s="218"/>
      <c r="C79" s="218"/>
      <c r="D79" s="218"/>
      <c r="E79" s="218"/>
      <c r="F79" s="218"/>
      <c r="G79" s="218">
        <f t="shared" si="28"/>
        <v>0</v>
      </c>
      <c r="H79" s="221"/>
      <c r="I79" s="216" t="s">
        <v>213</v>
      </c>
      <c r="J79" s="218"/>
      <c r="K79" s="218"/>
      <c r="L79" s="218"/>
      <c r="M79" s="218"/>
      <c r="N79" s="218"/>
      <c r="O79" s="220">
        <f t="shared" si="32"/>
        <v>0</v>
      </c>
      <c r="P79" s="555"/>
    </row>
    <row r="80" s="196" customFormat="1" ht="26.25" customHeight="1" spans="1:18">
      <c r="A80" s="239" t="s">
        <v>214</v>
      </c>
      <c r="B80" s="218">
        <f t="shared" ref="B80:F80" si="36">SUM(B5+B6)</f>
        <v>451499</v>
      </c>
      <c r="C80" s="218">
        <f t="shared" si="36"/>
        <v>342967</v>
      </c>
      <c r="D80" s="218">
        <f t="shared" si="36"/>
        <v>393687</v>
      </c>
      <c r="E80" s="218">
        <f t="shared" si="36"/>
        <v>108056</v>
      </c>
      <c r="F80" s="218">
        <f t="shared" si="36"/>
        <v>451023</v>
      </c>
      <c r="G80" s="218">
        <f t="shared" si="28"/>
        <v>-476</v>
      </c>
      <c r="H80" s="221">
        <f>G80/B80*100</f>
        <v>-0.11</v>
      </c>
      <c r="I80" s="239" t="s">
        <v>215</v>
      </c>
      <c r="J80" s="220">
        <f t="shared" ref="J80:N80" si="37">SUM(J5+J6+J68+J76+J77)</f>
        <v>451499</v>
      </c>
      <c r="K80" s="220">
        <f t="shared" si="37"/>
        <v>342967</v>
      </c>
      <c r="L80" s="220">
        <f t="shared" si="37"/>
        <v>393687</v>
      </c>
      <c r="M80" s="220">
        <f t="shared" si="37"/>
        <v>106997</v>
      </c>
      <c r="N80" s="220">
        <f t="shared" si="37"/>
        <v>451023</v>
      </c>
      <c r="O80" s="220">
        <f t="shared" si="32"/>
        <v>-476</v>
      </c>
      <c r="P80" s="555">
        <f>O80/J80*100</f>
        <v>-0.11</v>
      </c>
      <c r="R80" s="196">
        <f>N80-F80</f>
        <v>0</v>
      </c>
    </row>
  </sheetData>
  <mergeCells count="4">
    <mergeCell ref="A1:O1"/>
    <mergeCell ref="K2:N2"/>
    <mergeCell ref="A3:C3"/>
    <mergeCell ref="I3:K3"/>
  </mergeCells>
  <pageMargins left="0.708661417322835" right="0.708661417322835" top="0.551181102362205" bottom="0.551181102362205" header="0.31496062992126" footer="0.31496062992126"/>
  <pageSetup paperSize="9" scale="73" fitToHeight="12" orientation="landscape" blackAndWhite="1"/>
  <headerFooter/>
  <rowBreaks count="1" manualBreakCount="1">
    <brk id="47" max="255"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
  <sheetViews>
    <sheetView zoomScaleSheetLayoutView="60" workbookViewId="0">
      <selection activeCell="E10" sqref="E10"/>
    </sheetView>
  </sheetViews>
  <sheetFormatPr defaultColWidth="9" defaultRowHeight="15"/>
  <cols>
    <col min="1" max="1" width="34.125" style="52" customWidth="1"/>
    <col min="2" max="2" width="11.625" style="54" customWidth="1"/>
    <col min="3" max="3" width="35.25" style="54" customWidth="1"/>
    <col min="4" max="4" width="10.875" style="54" customWidth="1"/>
    <col min="5" max="5" width="13.125" style="52" customWidth="1"/>
    <col min="6" max="6" width="9" style="52" customWidth="1"/>
    <col min="7" max="7" width="12.5" style="52" customWidth="1"/>
    <col min="8" max="9" width="9" style="52" customWidth="1"/>
    <col min="10" max="247" width="9" style="52"/>
    <col min="248" max="16384" width="9" style="55"/>
  </cols>
  <sheetData>
    <row r="1" s="52" customFormat="1" ht="24" customHeight="1" spans="1:256">
      <c r="A1" s="644" t="s">
        <v>4305</v>
      </c>
      <c r="B1" s="56"/>
      <c r="C1" s="56"/>
      <c r="D1" s="56"/>
      <c r="E1" s="56"/>
      <c r="IN1" s="55"/>
      <c r="IO1" s="55"/>
      <c r="IP1" s="55"/>
      <c r="IQ1" s="55"/>
      <c r="IR1" s="55"/>
      <c r="IS1" s="55"/>
      <c r="IT1" s="55"/>
      <c r="IU1" s="55"/>
      <c r="IV1" s="55"/>
    </row>
    <row r="2" s="52" customFormat="1" ht="15.95" customHeight="1" spans="1:256">
      <c r="A2" s="57"/>
      <c r="B2" s="58"/>
      <c r="D2" s="88" t="s">
        <v>973</v>
      </c>
      <c r="IN2" s="55"/>
      <c r="IO2" s="55"/>
      <c r="IP2" s="55"/>
      <c r="IQ2" s="55"/>
      <c r="IR2" s="55"/>
      <c r="IS2" s="55"/>
      <c r="IT2" s="55"/>
      <c r="IU2" s="55"/>
      <c r="IV2" s="55"/>
    </row>
    <row r="3" s="53" customFormat="1" ht="33.75" customHeight="1" spans="1:5">
      <c r="A3" s="60" t="s">
        <v>974</v>
      </c>
      <c r="B3" s="61"/>
      <c r="C3" s="62" t="s">
        <v>975</v>
      </c>
      <c r="D3" s="63"/>
      <c r="E3" s="64" t="s">
        <v>1036</v>
      </c>
    </row>
    <row r="4" s="53" customFormat="1" ht="33.75" customHeight="1" spans="1:5">
      <c r="A4" s="65" t="s">
        <v>976</v>
      </c>
      <c r="B4" s="66" t="s">
        <v>1048</v>
      </c>
      <c r="C4" s="66" t="s">
        <v>976</v>
      </c>
      <c r="D4" s="66" t="s">
        <v>1048</v>
      </c>
      <c r="E4" s="67"/>
    </row>
    <row r="5" s="87" customFormat="1" ht="33.75" customHeight="1" spans="1:256">
      <c r="A5" s="617" t="s">
        <v>980</v>
      </c>
      <c r="B5" s="69">
        <f>SUM(B6:B11)</f>
        <v>31323</v>
      </c>
      <c r="C5" s="617" t="s">
        <v>981</v>
      </c>
      <c r="D5" s="69">
        <f>SUM(D6:D10)</f>
        <v>26041</v>
      </c>
      <c r="E5" s="71"/>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90"/>
      <c r="IO5" s="90"/>
      <c r="IP5" s="90"/>
      <c r="IQ5" s="90"/>
      <c r="IR5" s="90"/>
      <c r="IS5" s="90"/>
      <c r="IT5" s="90"/>
      <c r="IU5" s="90"/>
      <c r="IV5" s="90"/>
    </row>
    <row r="6" s="53" customFormat="1" ht="33.75" customHeight="1" spans="1:5">
      <c r="A6" s="74" t="s">
        <v>982</v>
      </c>
      <c r="B6" s="73">
        <v>18968</v>
      </c>
      <c r="C6" s="74" t="s">
        <v>983</v>
      </c>
      <c r="D6" s="75">
        <v>25935</v>
      </c>
      <c r="E6" s="76"/>
    </row>
    <row r="7" s="53" customFormat="1" ht="33.75" customHeight="1" spans="1:5">
      <c r="A7" s="618" t="s">
        <v>984</v>
      </c>
      <c r="B7" s="75">
        <v>8751</v>
      </c>
      <c r="C7" s="74" t="s">
        <v>985</v>
      </c>
      <c r="D7" s="75"/>
      <c r="E7" s="76"/>
    </row>
    <row r="8" s="53" customFormat="1" ht="33.75" customHeight="1" spans="1:5">
      <c r="A8" s="74" t="s">
        <v>986</v>
      </c>
      <c r="B8" s="75">
        <v>19</v>
      </c>
      <c r="C8" s="74" t="s">
        <v>987</v>
      </c>
      <c r="D8" s="75">
        <v>22</v>
      </c>
      <c r="E8" s="76"/>
    </row>
    <row r="9" s="53" customFormat="1" ht="33.75" customHeight="1" spans="1:5">
      <c r="A9" s="74" t="s">
        <v>988</v>
      </c>
      <c r="B9" s="77">
        <v>450</v>
      </c>
      <c r="C9" s="74" t="s">
        <v>989</v>
      </c>
      <c r="D9" s="77">
        <v>84</v>
      </c>
      <c r="E9" s="76"/>
    </row>
    <row r="10" s="53" customFormat="1" ht="33.75" customHeight="1" spans="1:5">
      <c r="A10" s="74" t="s">
        <v>990</v>
      </c>
      <c r="B10" s="75">
        <v>4</v>
      </c>
      <c r="C10" s="74"/>
      <c r="D10" s="69"/>
      <c r="E10" s="76"/>
    </row>
    <row r="11" s="53" customFormat="1" ht="33.75" customHeight="1" spans="1:5">
      <c r="A11" s="79" t="s">
        <v>991</v>
      </c>
      <c r="B11" s="69">
        <v>3131</v>
      </c>
      <c r="C11" s="79" t="s">
        <v>992</v>
      </c>
      <c r="D11" s="69">
        <f>B5-D5</f>
        <v>5282</v>
      </c>
      <c r="E11" s="71"/>
    </row>
    <row r="12" s="87" customFormat="1" ht="33.75" customHeight="1" spans="1:256">
      <c r="A12" s="619" t="s">
        <v>993</v>
      </c>
      <c r="B12" s="69">
        <f>SUM(B13:B19)</f>
        <v>42649</v>
      </c>
      <c r="C12" s="619" t="s">
        <v>994</v>
      </c>
      <c r="D12" s="69">
        <f>SUM(D13:D18)</f>
        <v>12715</v>
      </c>
      <c r="E12" s="71"/>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90"/>
      <c r="IO12" s="90"/>
      <c r="IP12" s="90"/>
      <c r="IQ12" s="90"/>
      <c r="IR12" s="90"/>
      <c r="IS12" s="90"/>
      <c r="IT12" s="90"/>
      <c r="IU12" s="90"/>
      <c r="IV12" s="90"/>
    </row>
    <row r="13" s="53" customFormat="1" ht="33.75" customHeight="1" spans="1:5">
      <c r="A13" s="74" t="s">
        <v>995</v>
      </c>
      <c r="B13" s="75">
        <v>2871</v>
      </c>
      <c r="C13" s="74" t="s">
        <v>996</v>
      </c>
      <c r="D13" s="75">
        <v>11910</v>
      </c>
      <c r="E13" s="76"/>
    </row>
    <row r="14" s="53" customFormat="1" ht="33.75" customHeight="1" spans="1:5">
      <c r="A14" s="74" t="s">
        <v>997</v>
      </c>
      <c r="B14" s="75">
        <v>12282</v>
      </c>
      <c r="C14" s="74" t="s">
        <v>998</v>
      </c>
      <c r="D14" s="75">
        <v>662</v>
      </c>
      <c r="E14" s="76"/>
    </row>
    <row r="15" s="53" customFormat="1" ht="33.75" customHeight="1" spans="1:5">
      <c r="A15" s="74" t="s">
        <v>986</v>
      </c>
      <c r="B15" s="75">
        <v>128</v>
      </c>
      <c r="C15" s="74" t="s">
        <v>999</v>
      </c>
      <c r="D15" s="75">
        <v>132</v>
      </c>
      <c r="E15" s="76"/>
    </row>
    <row r="16" s="53" customFormat="1" ht="33.75" customHeight="1" spans="1:5">
      <c r="A16" s="74" t="s">
        <v>1000</v>
      </c>
      <c r="B16" s="75">
        <v>571</v>
      </c>
      <c r="C16" s="74" t="s">
        <v>987</v>
      </c>
      <c r="D16" s="75">
        <v>9</v>
      </c>
      <c r="E16" s="76"/>
    </row>
    <row r="17" s="53" customFormat="1" ht="33.75" customHeight="1" spans="1:5">
      <c r="A17" s="74" t="s">
        <v>988</v>
      </c>
      <c r="B17" s="75">
        <v>18</v>
      </c>
      <c r="C17" s="74" t="s">
        <v>989</v>
      </c>
      <c r="D17" s="75">
        <v>2</v>
      </c>
      <c r="E17" s="76"/>
    </row>
    <row r="18" s="53" customFormat="1" ht="33.75" customHeight="1" spans="1:5">
      <c r="A18" s="74" t="s">
        <v>990</v>
      </c>
      <c r="B18" s="75">
        <v>0</v>
      </c>
      <c r="C18" s="74"/>
      <c r="D18" s="75"/>
      <c r="E18" s="76"/>
    </row>
    <row r="19" s="53" customFormat="1" ht="33.75" customHeight="1" spans="1:5">
      <c r="A19" s="79" t="s">
        <v>1002</v>
      </c>
      <c r="B19" s="69">
        <v>26779</v>
      </c>
      <c r="C19" s="79" t="s">
        <v>992</v>
      </c>
      <c r="D19" s="69">
        <f>B12-D12</f>
        <v>29934</v>
      </c>
      <c r="E19" s="76"/>
    </row>
    <row r="20" s="53" customFormat="1" ht="33.75" customHeight="1" spans="1:5">
      <c r="A20" s="82" t="s">
        <v>1003</v>
      </c>
      <c r="B20" s="69">
        <f>B5+B12</f>
        <v>73972</v>
      </c>
      <c r="C20" s="82" t="s">
        <v>1003</v>
      </c>
      <c r="D20" s="69">
        <f>D5+D11+D12+D19</f>
        <v>73972</v>
      </c>
      <c r="E20" s="76"/>
    </row>
  </sheetData>
  <mergeCells count="4">
    <mergeCell ref="A1:E1"/>
    <mergeCell ref="A3:B3"/>
    <mergeCell ref="C3:D3"/>
    <mergeCell ref="E3:E4"/>
  </mergeCells>
  <printOptions horizontalCentered="1"/>
  <pageMargins left="0.708661417322835" right="0.708661417322835" top="0.748031496062992" bottom="0.748031496062992" header="0.31496062992126" footer="0.31496062992126"/>
  <pageSetup paperSize="9" scale="70" orientation="portrait" blackAndWhite="1"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0"/>
  <sheetViews>
    <sheetView workbookViewId="0">
      <selection activeCell="E9" sqref="E9"/>
    </sheetView>
  </sheetViews>
  <sheetFormatPr defaultColWidth="9" defaultRowHeight="15"/>
  <cols>
    <col min="1" max="1" width="34.125" style="52" customWidth="1"/>
    <col min="2" max="2" width="34.5" style="54" customWidth="1"/>
    <col min="3" max="3" width="9" style="52" customWidth="1"/>
    <col min="4" max="4" width="9.375" style="52" customWidth="1"/>
    <col min="5" max="6" width="9" style="52" customWidth="1"/>
    <col min="7" max="244" width="9" style="52"/>
    <col min="245" max="16384" width="9" style="55"/>
  </cols>
  <sheetData>
    <row r="1" s="52" customFormat="1" ht="24" customHeight="1" spans="1:253">
      <c r="A1" s="56" t="s">
        <v>4306</v>
      </c>
      <c r="B1" s="56"/>
      <c r="IK1" s="55"/>
      <c r="IL1" s="55"/>
      <c r="IM1" s="55"/>
      <c r="IN1" s="55"/>
      <c r="IO1" s="55"/>
      <c r="IP1" s="55"/>
      <c r="IQ1" s="55"/>
      <c r="IR1" s="55"/>
      <c r="IS1" s="55"/>
    </row>
    <row r="2" s="52" customFormat="1" ht="15.95" customHeight="1" spans="1:253">
      <c r="A2" s="57"/>
      <c r="B2" s="86" t="s">
        <v>51</v>
      </c>
      <c r="IK2" s="55"/>
      <c r="IL2" s="55"/>
      <c r="IM2" s="55"/>
      <c r="IN2" s="55"/>
      <c r="IO2" s="55"/>
      <c r="IP2" s="55"/>
      <c r="IQ2" s="55"/>
      <c r="IR2" s="55"/>
      <c r="IS2" s="55"/>
    </row>
    <row r="3" s="53" customFormat="1" ht="33.75" customHeight="1" spans="1:2">
      <c r="A3" s="60" t="s">
        <v>974</v>
      </c>
      <c r="B3" s="61"/>
    </row>
    <row r="4" s="53" customFormat="1" ht="33.75" customHeight="1" spans="1:2">
      <c r="A4" s="65" t="s">
        <v>976</v>
      </c>
      <c r="B4" s="66" t="s">
        <v>1048</v>
      </c>
    </row>
    <row r="5" s="53" customFormat="1" ht="33.75" customHeight="1" spans="1:2">
      <c r="A5" s="617" t="s">
        <v>980</v>
      </c>
      <c r="B5" s="69">
        <f>SUM(B6:B11)</f>
        <v>31323</v>
      </c>
    </row>
    <row r="6" s="53" customFormat="1" ht="33.75" customHeight="1" spans="1:2">
      <c r="A6" s="74" t="s">
        <v>982</v>
      </c>
      <c r="B6" s="73">
        <v>18968</v>
      </c>
    </row>
    <row r="7" s="53" customFormat="1" ht="33.75" customHeight="1" spans="1:2">
      <c r="A7" s="618" t="s">
        <v>984</v>
      </c>
      <c r="B7" s="75">
        <v>8751</v>
      </c>
    </row>
    <row r="8" s="53" customFormat="1" ht="33.75" customHeight="1" spans="1:2">
      <c r="A8" s="74" t="s">
        <v>986</v>
      </c>
      <c r="B8" s="75">
        <v>19</v>
      </c>
    </row>
    <row r="9" s="53" customFormat="1" ht="33.75" customHeight="1" spans="1:2">
      <c r="A9" s="74" t="s">
        <v>988</v>
      </c>
      <c r="B9" s="77">
        <v>450</v>
      </c>
    </row>
    <row r="10" s="53" customFormat="1" ht="33.75" customHeight="1" spans="1:2">
      <c r="A10" s="74" t="s">
        <v>990</v>
      </c>
      <c r="B10" s="75">
        <v>4</v>
      </c>
    </row>
    <row r="11" s="53" customFormat="1" ht="33.75" customHeight="1" spans="1:2">
      <c r="A11" s="79" t="s">
        <v>991</v>
      </c>
      <c r="B11" s="69">
        <v>3131</v>
      </c>
    </row>
    <row r="12" s="53" customFormat="1" ht="33.75" customHeight="1" spans="1:2">
      <c r="A12" s="619" t="s">
        <v>993</v>
      </c>
      <c r="B12" s="69">
        <f>SUM(B13:B19)</f>
        <v>42649</v>
      </c>
    </row>
    <row r="13" s="53" customFormat="1" ht="33.75" customHeight="1" spans="1:2">
      <c r="A13" s="74" t="s">
        <v>995</v>
      </c>
      <c r="B13" s="75">
        <v>2871</v>
      </c>
    </row>
    <row r="14" s="53" customFormat="1" ht="33.75" customHeight="1" spans="1:2">
      <c r="A14" s="74" t="s">
        <v>997</v>
      </c>
      <c r="B14" s="75">
        <v>12282</v>
      </c>
    </row>
    <row r="15" s="53" customFormat="1" ht="33.75" customHeight="1" spans="1:2">
      <c r="A15" s="74" t="s">
        <v>986</v>
      </c>
      <c r="B15" s="75">
        <v>128</v>
      </c>
    </row>
    <row r="16" s="53" customFormat="1" ht="33.75" customHeight="1" spans="1:2">
      <c r="A16" s="74" t="s">
        <v>1000</v>
      </c>
      <c r="B16" s="75">
        <v>571</v>
      </c>
    </row>
    <row r="17" spans="1:2">
      <c r="A17" s="74" t="s">
        <v>988</v>
      </c>
      <c r="B17" s="75">
        <v>18</v>
      </c>
    </row>
    <row r="18" spans="1:2">
      <c r="A18" s="74" t="s">
        <v>990</v>
      </c>
      <c r="B18" s="75">
        <v>0</v>
      </c>
    </row>
    <row r="19" spans="1:2">
      <c r="A19" s="79" t="s">
        <v>1002</v>
      </c>
      <c r="B19" s="69">
        <v>26779</v>
      </c>
    </row>
    <row r="20" spans="1:2">
      <c r="A20" s="82" t="s">
        <v>1003</v>
      </c>
      <c r="B20" s="69">
        <f>B5+B12</f>
        <v>73972</v>
      </c>
    </row>
  </sheetData>
  <mergeCells count="2">
    <mergeCell ref="A1:B1"/>
    <mergeCell ref="A3:B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C1" workbookViewId="0">
      <selection activeCell="H8" sqref="H8"/>
    </sheetView>
  </sheetViews>
  <sheetFormatPr defaultColWidth="9" defaultRowHeight="15"/>
  <cols>
    <col min="1" max="1" width="34.125" style="52" hidden="1" customWidth="1"/>
    <col min="2" max="2" width="11.625" style="54" hidden="1" customWidth="1"/>
    <col min="3" max="3" width="35.25" style="54" customWidth="1"/>
    <col min="4" max="4" width="18.875" style="54" customWidth="1"/>
    <col min="5" max="5" width="23.75" style="52" customWidth="1"/>
    <col min="6" max="6" width="9" style="52" customWidth="1"/>
    <col min="7" max="7" width="9.375" style="52" customWidth="1"/>
    <col min="8" max="9" width="9" style="52" customWidth="1"/>
    <col min="10" max="247" width="9" style="52"/>
    <col min="248" max="16384" width="9" style="55"/>
  </cols>
  <sheetData>
    <row r="1" s="52" customFormat="1" ht="24" customHeight="1" spans="1:256">
      <c r="A1" s="56" t="s">
        <v>4307</v>
      </c>
      <c r="B1" s="56"/>
      <c r="C1" s="56"/>
      <c r="D1" s="56"/>
      <c r="E1" s="56"/>
      <c r="IN1" s="55"/>
      <c r="IO1" s="55"/>
      <c r="IP1" s="55"/>
      <c r="IQ1" s="55"/>
      <c r="IR1" s="55"/>
      <c r="IS1" s="55"/>
      <c r="IT1" s="55"/>
      <c r="IU1" s="55"/>
      <c r="IV1" s="55"/>
    </row>
    <row r="2" s="52" customFormat="1" ht="15.95" customHeight="1" spans="1:256">
      <c r="A2" s="57"/>
      <c r="B2" s="58"/>
      <c r="D2" s="59"/>
      <c r="E2" s="52" t="s">
        <v>973</v>
      </c>
      <c r="IN2" s="55"/>
      <c r="IO2" s="55"/>
      <c r="IP2" s="55"/>
      <c r="IQ2" s="55"/>
      <c r="IR2" s="55"/>
      <c r="IS2" s="55"/>
      <c r="IT2" s="55"/>
      <c r="IU2" s="55"/>
      <c r="IV2" s="55"/>
    </row>
    <row r="3" s="53" customFormat="1" ht="33.75" customHeight="1" spans="1:5">
      <c r="A3" s="60" t="s">
        <v>974</v>
      </c>
      <c r="B3" s="61"/>
      <c r="C3" s="62" t="s">
        <v>975</v>
      </c>
      <c r="D3" s="63"/>
      <c r="E3" s="64" t="s">
        <v>1036</v>
      </c>
    </row>
    <row r="4" s="53" customFormat="1" ht="33.75" customHeight="1" spans="1:5">
      <c r="A4" s="65" t="s">
        <v>976</v>
      </c>
      <c r="B4" s="66" t="s">
        <v>1048</v>
      </c>
      <c r="C4" s="66" t="s">
        <v>976</v>
      </c>
      <c r="D4" s="66" t="s">
        <v>1048</v>
      </c>
      <c r="E4" s="67"/>
    </row>
    <row r="5" s="53" customFormat="1" ht="33.75" customHeight="1" spans="1:5">
      <c r="A5" s="68" t="s">
        <v>4308</v>
      </c>
      <c r="B5" s="69">
        <f>SUM(B6:B9)</f>
        <v>24378</v>
      </c>
      <c r="C5" s="617" t="s">
        <v>981</v>
      </c>
      <c r="D5" s="69">
        <v>26041</v>
      </c>
      <c r="E5" s="71"/>
    </row>
    <row r="6" s="53" customFormat="1" ht="33.75" customHeight="1" spans="1:5">
      <c r="A6" s="72" t="s">
        <v>982</v>
      </c>
      <c r="B6" s="73">
        <v>14890</v>
      </c>
      <c r="C6" s="74" t="s">
        <v>983</v>
      </c>
      <c r="D6" s="75">
        <v>25935</v>
      </c>
      <c r="E6" s="76"/>
    </row>
    <row r="7" s="53" customFormat="1" ht="33.75" customHeight="1" spans="1:5">
      <c r="A7" s="72" t="s">
        <v>984</v>
      </c>
      <c r="B7" s="75">
        <v>8318</v>
      </c>
      <c r="C7" s="74" t="s">
        <v>985</v>
      </c>
      <c r="D7" s="75"/>
      <c r="E7" s="76"/>
    </row>
    <row r="8" s="53" customFormat="1" ht="33.75" customHeight="1" spans="1:5">
      <c r="A8" s="72" t="s">
        <v>4309</v>
      </c>
      <c r="B8" s="75">
        <v>12</v>
      </c>
      <c r="C8" s="74" t="s">
        <v>987</v>
      </c>
      <c r="D8" s="75">
        <v>22</v>
      </c>
      <c r="E8" s="76"/>
    </row>
    <row r="9" s="53" customFormat="1" ht="33.75" customHeight="1" spans="1:5">
      <c r="A9" s="72" t="s">
        <v>1002</v>
      </c>
      <c r="B9" s="77">
        <v>1158</v>
      </c>
      <c r="C9" s="74" t="s">
        <v>989</v>
      </c>
      <c r="D9" s="77">
        <v>84</v>
      </c>
      <c r="E9" s="76"/>
    </row>
    <row r="10" s="53" customFormat="1" ht="33.75" customHeight="1" spans="1:5">
      <c r="A10" s="78" t="s">
        <v>4310</v>
      </c>
      <c r="B10" s="69">
        <f>SUM(B11:B14)</f>
        <v>39835</v>
      </c>
      <c r="C10" s="74"/>
      <c r="D10" s="69"/>
      <c r="E10" s="76"/>
    </row>
    <row r="11" s="53" customFormat="1" ht="33.75" customHeight="1" spans="1:5">
      <c r="A11" s="72" t="s">
        <v>995</v>
      </c>
      <c r="B11" s="75">
        <v>2597</v>
      </c>
      <c r="C11" s="79" t="s">
        <v>992</v>
      </c>
      <c r="D11" s="69">
        <v>5282</v>
      </c>
      <c r="E11" s="71"/>
    </row>
    <row r="12" s="53" customFormat="1" ht="33.75" customHeight="1" spans="1:5">
      <c r="A12" s="72" t="s">
        <v>997</v>
      </c>
      <c r="B12" s="75">
        <v>10649</v>
      </c>
      <c r="C12" s="619" t="s">
        <v>994</v>
      </c>
      <c r="D12" s="69">
        <v>12715</v>
      </c>
      <c r="E12" s="71"/>
    </row>
    <row r="13" s="53" customFormat="1" ht="33.75" customHeight="1" spans="1:5">
      <c r="A13" s="72" t="s">
        <v>990</v>
      </c>
      <c r="B13" s="75"/>
      <c r="C13" s="74" t="s">
        <v>996</v>
      </c>
      <c r="D13" s="75">
        <v>11910</v>
      </c>
      <c r="E13" s="76"/>
    </row>
    <row r="14" s="53" customFormat="1" ht="33.75" customHeight="1" spans="1:5">
      <c r="A14" s="72" t="s">
        <v>1002</v>
      </c>
      <c r="B14" s="75">
        <v>26589</v>
      </c>
      <c r="C14" s="74" t="s">
        <v>998</v>
      </c>
      <c r="D14" s="75">
        <v>662</v>
      </c>
      <c r="E14" s="76"/>
    </row>
    <row r="15" s="53" customFormat="1" ht="33.75" customHeight="1" spans="1:5">
      <c r="A15" s="72"/>
      <c r="B15" s="75"/>
      <c r="C15" s="74" t="s">
        <v>999</v>
      </c>
      <c r="D15" s="75">
        <v>132</v>
      </c>
      <c r="E15" s="76"/>
    </row>
    <row r="16" s="53" customFormat="1" ht="33.75" customHeight="1" spans="1:5">
      <c r="A16" s="80" t="s">
        <v>1003</v>
      </c>
      <c r="B16" s="81">
        <f>SUM(B5+B10)</f>
        <v>64213</v>
      </c>
      <c r="C16" s="74" t="s">
        <v>987</v>
      </c>
      <c r="D16" s="75">
        <v>9</v>
      </c>
      <c r="E16" s="76"/>
    </row>
    <row r="17" spans="3:5">
      <c r="C17" s="74" t="s">
        <v>989</v>
      </c>
      <c r="D17" s="75">
        <v>2</v>
      </c>
      <c r="E17" s="76"/>
    </row>
    <row r="18" spans="3:5">
      <c r="C18" s="74"/>
      <c r="D18" s="75"/>
      <c r="E18" s="76"/>
    </row>
    <row r="19" spans="3:5">
      <c r="C19" s="79" t="s">
        <v>992</v>
      </c>
      <c r="D19" s="69">
        <v>29934</v>
      </c>
      <c r="E19" s="76"/>
    </row>
    <row r="20" spans="3:5">
      <c r="C20" s="82" t="s">
        <v>1003</v>
      </c>
      <c r="D20" s="69">
        <v>73972</v>
      </c>
      <c r="E20" s="76"/>
    </row>
    <row r="21" spans="3:5">
      <c r="C21" s="83"/>
      <c r="D21" s="83"/>
      <c r="E21" s="84"/>
    </row>
    <row r="22" spans="3:5">
      <c r="C22" s="83"/>
      <c r="D22" s="83"/>
      <c r="E22" s="84"/>
    </row>
    <row r="23" spans="5:5">
      <c r="E23" s="85"/>
    </row>
    <row r="24" spans="5:5">
      <c r="E24" s="85"/>
    </row>
    <row r="25" spans="5:5">
      <c r="E25" s="85"/>
    </row>
    <row r="26" spans="5:5">
      <c r="E26" s="85"/>
    </row>
  </sheetData>
  <mergeCells count="4">
    <mergeCell ref="A1:E1"/>
    <mergeCell ref="A3:B3"/>
    <mergeCell ref="C3:D3"/>
    <mergeCell ref="E3:E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showZeros="0" zoomScaleSheetLayoutView="60" workbookViewId="0">
      <selection activeCell="A1" sqref="A1:N1"/>
    </sheetView>
  </sheetViews>
  <sheetFormatPr defaultColWidth="9" defaultRowHeight="15"/>
  <cols>
    <col min="1" max="1" width="25.25" style="43" customWidth="1"/>
    <col min="2" max="7" width="7.625" style="43" customWidth="1"/>
    <col min="8" max="8" width="29.5" style="43" customWidth="1"/>
    <col min="9" max="14" width="7.625" style="43" customWidth="1"/>
    <col min="15" max="16384" width="9" style="43"/>
  </cols>
  <sheetData>
    <row r="1" s="48" customFormat="1" ht="24.95" customHeight="1" spans="1:14">
      <c r="A1" s="645" t="s">
        <v>4311</v>
      </c>
      <c r="B1" s="49"/>
      <c r="C1" s="49"/>
      <c r="D1" s="49"/>
      <c r="E1" s="49"/>
      <c r="F1" s="49"/>
      <c r="G1" s="49"/>
      <c r="H1" s="49"/>
      <c r="I1" s="49"/>
      <c r="J1" s="49"/>
      <c r="K1" s="49"/>
      <c r="L1" s="49"/>
      <c r="M1" s="49"/>
      <c r="N1" s="49"/>
    </row>
    <row r="2" s="48" customFormat="1" ht="24" customHeight="1" spans="1:14">
      <c r="A2" s="50"/>
      <c r="B2" s="50"/>
      <c r="C2" s="50"/>
      <c r="D2" s="50"/>
      <c r="E2" s="50"/>
      <c r="F2" s="50"/>
      <c r="N2" s="51" t="s">
        <v>1005</v>
      </c>
    </row>
    <row r="3" s="43" customFormat="1" ht="27" customHeight="1" spans="1:14">
      <c r="A3" s="33" t="s">
        <v>4312</v>
      </c>
      <c r="B3" s="33"/>
      <c r="C3" s="33"/>
      <c r="D3" s="33"/>
      <c r="E3" s="33"/>
      <c r="F3" s="33"/>
      <c r="G3" s="33"/>
      <c r="H3" s="33" t="s">
        <v>4313</v>
      </c>
      <c r="I3" s="33"/>
      <c r="J3" s="33"/>
      <c r="K3" s="33"/>
      <c r="L3" s="33"/>
      <c r="M3" s="33"/>
      <c r="N3" s="33"/>
    </row>
    <row r="4" s="43" customFormat="1" ht="27" customHeight="1" spans="1:14">
      <c r="A4" s="33" t="s">
        <v>4314</v>
      </c>
      <c r="B4" s="646" t="s">
        <v>1010</v>
      </c>
      <c r="C4" s="33"/>
      <c r="D4" s="33"/>
      <c r="E4" s="646" t="s">
        <v>1068</v>
      </c>
      <c r="F4" s="33"/>
      <c r="G4" s="33"/>
      <c r="H4" s="33" t="s">
        <v>4314</v>
      </c>
      <c r="I4" s="646" t="s">
        <v>1010</v>
      </c>
      <c r="J4" s="33"/>
      <c r="K4" s="33"/>
      <c r="L4" s="646" t="s">
        <v>1068</v>
      </c>
      <c r="M4" s="33"/>
      <c r="N4" s="33"/>
    </row>
    <row r="5" s="43" customFormat="1" ht="36.75" customHeight="1" spans="1:14">
      <c r="A5" s="33"/>
      <c r="B5" s="33" t="s">
        <v>959</v>
      </c>
      <c r="C5" s="33" t="s">
        <v>1011</v>
      </c>
      <c r="D5" s="623" t="s">
        <v>1012</v>
      </c>
      <c r="E5" s="33" t="s">
        <v>959</v>
      </c>
      <c r="F5" s="33" t="s">
        <v>1011</v>
      </c>
      <c r="G5" s="623" t="s">
        <v>1012</v>
      </c>
      <c r="H5" s="33"/>
      <c r="I5" s="33" t="s">
        <v>959</v>
      </c>
      <c r="J5" s="33" t="s">
        <v>1011</v>
      </c>
      <c r="K5" s="623" t="s">
        <v>1012</v>
      </c>
      <c r="L5" s="33" t="s">
        <v>959</v>
      </c>
      <c r="M5" s="33" t="s">
        <v>1011</v>
      </c>
      <c r="N5" s="623" t="s">
        <v>1012</v>
      </c>
    </row>
    <row r="6" s="43" customFormat="1" ht="27" customHeight="1" spans="1:14">
      <c r="A6" s="33" t="s">
        <v>4315</v>
      </c>
      <c r="B6" s="33">
        <v>1</v>
      </c>
      <c r="C6" s="33">
        <v>2</v>
      </c>
      <c r="D6" s="33">
        <v>3</v>
      </c>
      <c r="E6" s="33">
        <v>4</v>
      </c>
      <c r="F6" s="33">
        <v>5</v>
      </c>
      <c r="G6" s="33">
        <v>6</v>
      </c>
      <c r="H6" s="33" t="s">
        <v>4315</v>
      </c>
      <c r="I6" s="33">
        <v>7</v>
      </c>
      <c r="J6" s="33">
        <v>8</v>
      </c>
      <c r="K6" s="33">
        <v>9</v>
      </c>
      <c r="L6" s="33">
        <v>10</v>
      </c>
      <c r="M6" s="33">
        <v>11</v>
      </c>
      <c r="N6" s="33">
        <v>12</v>
      </c>
    </row>
    <row r="7" s="43" customFormat="1" ht="27" customHeight="1" spans="1:14">
      <c r="A7" s="36" t="s">
        <v>1013</v>
      </c>
      <c r="B7" s="36">
        <f t="shared" ref="B7:B17" si="0">SUM(C7:D7)</f>
        <v>0</v>
      </c>
      <c r="C7" s="36"/>
      <c r="D7" s="36"/>
      <c r="E7" s="36">
        <f t="shared" ref="E7:E17" si="1">SUM(F7:G7)</f>
        <v>0</v>
      </c>
      <c r="F7" s="36"/>
      <c r="G7" s="36"/>
      <c r="H7" s="16" t="s">
        <v>1014</v>
      </c>
      <c r="I7" s="36">
        <f t="shared" ref="I7:I11" si="2">J7+K7</f>
        <v>1</v>
      </c>
      <c r="J7" s="36"/>
      <c r="K7" s="36">
        <v>1</v>
      </c>
      <c r="L7" s="36">
        <f t="shared" ref="L7:L11" si="3">M7+N7</f>
        <v>32</v>
      </c>
      <c r="M7" s="36"/>
      <c r="N7" s="33">
        <v>32</v>
      </c>
    </row>
    <row r="8" s="43" customFormat="1" ht="27" customHeight="1" spans="1:14">
      <c r="A8" s="36" t="s">
        <v>1015</v>
      </c>
      <c r="B8" s="36">
        <f t="shared" si="0"/>
        <v>0</v>
      </c>
      <c r="C8" s="36"/>
      <c r="D8" s="36"/>
      <c r="E8" s="36">
        <f t="shared" si="1"/>
        <v>0</v>
      </c>
      <c r="F8" s="36"/>
      <c r="G8" s="36"/>
      <c r="H8" s="36" t="s">
        <v>1016</v>
      </c>
      <c r="I8" s="36">
        <f t="shared" si="2"/>
        <v>0</v>
      </c>
      <c r="J8" s="36"/>
      <c r="K8" s="36"/>
      <c r="L8" s="36">
        <f t="shared" si="3"/>
        <v>0</v>
      </c>
      <c r="M8" s="36"/>
      <c r="N8" s="36"/>
    </row>
    <row r="9" s="43" customFormat="1" ht="27" customHeight="1" spans="1:14">
      <c r="A9" s="36" t="s">
        <v>1017</v>
      </c>
      <c r="B9" s="36">
        <f t="shared" si="0"/>
        <v>0</v>
      </c>
      <c r="C9" s="36"/>
      <c r="D9" s="36"/>
      <c r="E9" s="36">
        <f t="shared" si="1"/>
        <v>0</v>
      </c>
      <c r="F9" s="36"/>
      <c r="G9" s="36"/>
      <c r="H9" s="36" t="s">
        <v>1018</v>
      </c>
      <c r="I9" s="36">
        <f t="shared" si="2"/>
        <v>0</v>
      </c>
      <c r="J9" s="36"/>
      <c r="K9" s="36"/>
      <c r="L9" s="36">
        <f t="shared" si="3"/>
        <v>0</v>
      </c>
      <c r="M9" s="36"/>
      <c r="N9" s="36"/>
    </row>
    <row r="10" s="43" customFormat="1" ht="27" customHeight="1" spans="1:14">
      <c r="A10" s="36" t="s">
        <v>1019</v>
      </c>
      <c r="B10" s="36">
        <f t="shared" si="0"/>
        <v>0</v>
      </c>
      <c r="C10" s="36"/>
      <c r="D10" s="36"/>
      <c r="E10" s="36">
        <f t="shared" si="1"/>
        <v>0</v>
      </c>
      <c r="F10" s="36"/>
      <c r="G10" s="36"/>
      <c r="H10" s="36" t="s">
        <v>1020</v>
      </c>
      <c r="I10" s="36">
        <f t="shared" si="2"/>
        <v>0</v>
      </c>
      <c r="J10" s="36"/>
      <c r="K10" s="36"/>
      <c r="L10" s="36">
        <f t="shared" si="3"/>
        <v>0</v>
      </c>
      <c r="M10" s="36"/>
      <c r="N10" s="36"/>
    </row>
    <row r="11" s="43" customFormat="1" ht="27" customHeight="1" spans="1:14">
      <c r="A11" s="42" t="s">
        <v>1021</v>
      </c>
      <c r="B11" s="36">
        <f t="shared" si="0"/>
        <v>0</v>
      </c>
      <c r="C11" s="33"/>
      <c r="D11" s="33"/>
      <c r="E11" s="36">
        <f t="shared" si="1"/>
        <v>0</v>
      </c>
      <c r="F11" s="33"/>
      <c r="G11" s="36"/>
      <c r="H11" s="36" t="s">
        <v>1022</v>
      </c>
      <c r="I11" s="36">
        <f t="shared" si="2"/>
        <v>0</v>
      </c>
      <c r="J11" s="36"/>
      <c r="K11" s="36"/>
      <c r="L11" s="33">
        <f t="shared" si="3"/>
        <v>0</v>
      </c>
      <c r="M11" s="33"/>
      <c r="N11" s="33"/>
    </row>
    <row r="12" s="43" customFormat="1" ht="27" customHeight="1" spans="1:14">
      <c r="A12" s="33"/>
      <c r="B12" s="36">
        <f t="shared" si="0"/>
        <v>0</v>
      </c>
      <c r="C12" s="46"/>
      <c r="D12" s="46"/>
      <c r="E12" s="36">
        <f t="shared" si="1"/>
        <v>0</v>
      </c>
      <c r="F12" s="46"/>
      <c r="G12" s="46"/>
      <c r="H12" s="36"/>
      <c r="I12" s="36"/>
      <c r="J12" s="36"/>
      <c r="K12" s="36"/>
      <c r="L12" s="33"/>
      <c r="M12" s="33"/>
      <c r="N12" s="33"/>
    </row>
    <row r="13" s="43" customFormat="1" ht="27" customHeight="1" spans="1:14">
      <c r="A13" s="39" t="s">
        <v>1023</v>
      </c>
      <c r="B13" s="36">
        <f t="shared" si="0"/>
        <v>0</v>
      </c>
      <c r="C13" s="47">
        <f t="shared" ref="C13:G13" si="4">SUM(C7:C11)</f>
        <v>0</v>
      </c>
      <c r="D13" s="47">
        <f t="shared" si="4"/>
        <v>0</v>
      </c>
      <c r="E13" s="36">
        <f t="shared" si="1"/>
        <v>0</v>
      </c>
      <c r="F13" s="47">
        <f t="shared" si="4"/>
        <v>0</v>
      </c>
      <c r="G13" s="47">
        <f t="shared" si="4"/>
        <v>0</v>
      </c>
      <c r="H13" s="39" t="s">
        <v>1024</v>
      </c>
      <c r="I13" s="36">
        <f t="shared" ref="I13:I17" si="5">J13+K13</f>
        <v>1</v>
      </c>
      <c r="J13" s="33">
        <f t="shared" ref="J13:N13" si="6">SUM(J7:J11)</f>
        <v>0</v>
      </c>
      <c r="K13" s="33">
        <f t="shared" si="6"/>
        <v>1</v>
      </c>
      <c r="L13" s="33">
        <f t="shared" ref="L13:L17" si="7">M13+N13</f>
        <v>32</v>
      </c>
      <c r="M13" s="33">
        <f t="shared" si="6"/>
        <v>0</v>
      </c>
      <c r="N13" s="33">
        <f t="shared" si="6"/>
        <v>32</v>
      </c>
    </row>
    <row r="14" s="43" customFormat="1" ht="27" customHeight="1" spans="1:14">
      <c r="A14" s="42" t="s">
        <v>1025</v>
      </c>
      <c r="B14" s="36">
        <f t="shared" si="0"/>
        <v>6</v>
      </c>
      <c r="C14" s="33"/>
      <c r="D14" s="33">
        <v>6</v>
      </c>
      <c r="E14" s="36">
        <f t="shared" si="1"/>
        <v>7</v>
      </c>
      <c r="F14" s="33"/>
      <c r="G14" s="33">
        <v>7</v>
      </c>
      <c r="H14" s="42" t="s">
        <v>1026</v>
      </c>
      <c r="I14" s="33">
        <f>J14</f>
        <v>0</v>
      </c>
      <c r="J14" s="33"/>
      <c r="K14" s="33" t="s">
        <v>1027</v>
      </c>
      <c r="L14" s="33">
        <f>M14</f>
        <v>0</v>
      </c>
      <c r="M14" s="33"/>
      <c r="N14" s="33" t="s">
        <v>1027</v>
      </c>
    </row>
    <row r="15" s="43" customFormat="1" ht="27" customHeight="1" spans="1:14">
      <c r="A15" s="42" t="s">
        <v>1028</v>
      </c>
      <c r="B15" s="36">
        <f t="shared" si="0"/>
        <v>20</v>
      </c>
      <c r="C15" s="33"/>
      <c r="D15" s="33">
        <v>20</v>
      </c>
      <c r="E15" s="33">
        <f t="shared" si="1"/>
        <v>25</v>
      </c>
      <c r="F15" s="33"/>
      <c r="G15" s="33">
        <v>25</v>
      </c>
      <c r="H15" s="36" t="s">
        <v>1029</v>
      </c>
      <c r="I15" s="33">
        <f t="shared" si="5"/>
        <v>0</v>
      </c>
      <c r="J15" s="36"/>
      <c r="K15" s="36"/>
      <c r="L15" s="33">
        <f t="shared" si="7"/>
        <v>0</v>
      </c>
      <c r="M15" s="36"/>
      <c r="N15" s="36"/>
    </row>
    <row r="16" s="43" customFormat="1" ht="27" customHeight="1" spans="1:14">
      <c r="A16" s="47"/>
      <c r="B16" s="36">
        <f t="shared" si="0"/>
        <v>0</v>
      </c>
      <c r="C16" s="36"/>
      <c r="D16" s="36"/>
      <c r="E16" s="33">
        <f t="shared" si="1"/>
        <v>0</v>
      </c>
      <c r="F16" s="33"/>
      <c r="G16" s="33"/>
      <c r="H16" s="36" t="s">
        <v>694</v>
      </c>
      <c r="I16" s="33">
        <f t="shared" si="5"/>
        <v>25</v>
      </c>
      <c r="J16" s="36"/>
      <c r="K16" s="33">
        <v>25</v>
      </c>
      <c r="L16" s="33">
        <f t="shared" si="7"/>
        <v>0</v>
      </c>
      <c r="M16" s="33"/>
      <c r="N16" s="33"/>
    </row>
    <row r="17" s="43" customFormat="1" ht="27" customHeight="1" spans="1:14">
      <c r="A17" s="39" t="s">
        <v>1030</v>
      </c>
      <c r="B17" s="36">
        <f t="shared" si="0"/>
        <v>26</v>
      </c>
      <c r="C17" s="33">
        <f t="shared" ref="C17:G17" si="8">C13+C14+C15</f>
        <v>0</v>
      </c>
      <c r="D17" s="33">
        <f t="shared" si="8"/>
        <v>26</v>
      </c>
      <c r="E17" s="33">
        <f t="shared" si="1"/>
        <v>32</v>
      </c>
      <c r="F17" s="33">
        <f t="shared" si="8"/>
        <v>0</v>
      </c>
      <c r="G17" s="33">
        <f t="shared" si="8"/>
        <v>32</v>
      </c>
      <c r="H17" s="39" t="s">
        <v>1031</v>
      </c>
      <c r="I17" s="33">
        <f t="shared" si="5"/>
        <v>26</v>
      </c>
      <c r="J17" s="33">
        <f>J13+J14+J15+J16</f>
        <v>0</v>
      </c>
      <c r="K17" s="33">
        <f>K13+K15+K16</f>
        <v>26</v>
      </c>
      <c r="L17" s="33">
        <f t="shared" si="7"/>
        <v>32</v>
      </c>
      <c r="M17" s="33">
        <f>M13+M14+M15+M16</f>
        <v>0</v>
      </c>
      <c r="N17" s="33">
        <f>N13+N15+N16</f>
        <v>32</v>
      </c>
    </row>
  </sheetData>
  <mergeCells count="9">
    <mergeCell ref="A1:N1"/>
    <mergeCell ref="A3:G3"/>
    <mergeCell ref="H3:N3"/>
    <mergeCell ref="B4:D4"/>
    <mergeCell ref="E4:G4"/>
    <mergeCell ref="I4:K4"/>
    <mergeCell ref="L4:N4"/>
    <mergeCell ref="A4:A5"/>
    <mergeCell ref="H4:H5"/>
  </mergeCells>
  <printOptions horizontalCentered="1"/>
  <pageMargins left="0.708661417322835" right="0.708661417322835" top="0.748031496062992" bottom="0.748031496062992" header="0.31496062992126" footer="0.31496062992126"/>
  <pageSetup paperSize="9" scale="70" orientation="landscape"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A1" sqref="A1:N1"/>
    </sheetView>
  </sheetViews>
  <sheetFormatPr defaultColWidth="9" defaultRowHeight="15"/>
  <cols>
    <col min="1" max="1" width="25.25" style="29" customWidth="1"/>
    <col min="2" max="6" width="7.625" style="29" customWidth="1"/>
    <col min="7" max="7" width="11.125" style="29" customWidth="1"/>
    <col min="8" max="8" width="29.5" style="29" hidden="1" customWidth="1"/>
    <col min="9" max="14" width="7.625" style="29" hidden="1" customWidth="1"/>
    <col min="15" max="16384" width="9" style="29"/>
  </cols>
  <sheetData>
    <row r="1" customFormat="1" ht="24.95" customHeight="1" spans="1:14">
      <c r="A1" s="30" t="s">
        <v>4316</v>
      </c>
      <c r="B1" s="30"/>
      <c r="C1" s="30"/>
      <c r="D1" s="30"/>
      <c r="E1" s="30"/>
      <c r="F1" s="30"/>
      <c r="G1" s="30"/>
      <c r="H1" s="30"/>
      <c r="I1" s="30"/>
      <c r="J1" s="30"/>
      <c r="K1" s="30"/>
      <c r="L1" s="30"/>
      <c r="M1" s="30"/>
      <c r="N1" s="30"/>
    </row>
    <row r="2" customFormat="1" ht="24" customHeight="1" spans="1:14">
      <c r="A2" s="31"/>
      <c r="B2" s="31"/>
      <c r="C2" s="31"/>
      <c r="D2" s="31"/>
      <c r="E2" s="31"/>
      <c r="F2" s="31"/>
      <c r="G2" t="s">
        <v>51</v>
      </c>
      <c r="N2" s="44" t="s">
        <v>1005</v>
      </c>
    </row>
    <row r="3" s="29" customFormat="1" ht="27" customHeight="1" spans="1:14">
      <c r="A3" s="33" t="s">
        <v>4312</v>
      </c>
      <c r="B3" s="33"/>
      <c r="C3" s="33"/>
      <c r="D3" s="33"/>
      <c r="E3" s="33"/>
      <c r="F3" s="33"/>
      <c r="G3" s="33"/>
      <c r="H3" s="32" t="s">
        <v>4317</v>
      </c>
      <c r="I3" s="32"/>
      <c r="J3" s="32"/>
      <c r="K3" s="32"/>
      <c r="L3" s="32"/>
      <c r="M3" s="32"/>
      <c r="N3" s="32"/>
    </row>
    <row r="4" s="29" customFormat="1" ht="27" customHeight="1" spans="1:14">
      <c r="A4" s="33" t="s">
        <v>4314</v>
      </c>
      <c r="B4" s="646" t="s">
        <v>1010</v>
      </c>
      <c r="C4" s="33"/>
      <c r="D4" s="33"/>
      <c r="E4" s="646" t="s">
        <v>1068</v>
      </c>
      <c r="F4" s="33"/>
      <c r="G4" s="33"/>
      <c r="H4" s="32" t="s">
        <v>4318</v>
      </c>
      <c r="I4" s="647" t="s">
        <v>4319</v>
      </c>
      <c r="J4" s="32"/>
      <c r="K4" s="32"/>
      <c r="L4" s="647" t="s">
        <v>217</v>
      </c>
      <c r="M4" s="32"/>
      <c r="N4" s="32"/>
    </row>
    <row r="5" s="29" customFormat="1" ht="36.75" customHeight="1" spans="1:14">
      <c r="A5" s="33"/>
      <c r="B5" s="33" t="s">
        <v>959</v>
      </c>
      <c r="C5" s="33" t="s">
        <v>1011</v>
      </c>
      <c r="D5" s="623" t="s">
        <v>1012</v>
      </c>
      <c r="E5" s="33" t="s">
        <v>959</v>
      </c>
      <c r="F5" s="33" t="s">
        <v>1011</v>
      </c>
      <c r="G5" s="623" t="s">
        <v>1012</v>
      </c>
      <c r="H5" s="32"/>
      <c r="I5" s="32" t="s">
        <v>959</v>
      </c>
      <c r="J5" s="32" t="s">
        <v>1011</v>
      </c>
      <c r="K5" s="648" t="s">
        <v>1012</v>
      </c>
      <c r="L5" s="32" t="s">
        <v>959</v>
      </c>
      <c r="M5" s="32" t="s">
        <v>1011</v>
      </c>
      <c r="N5" s="648" t="s">
        <v>1012</v>
      </c>
    </row>
    <row r="6" s="29" customFormat="1" ht="27" customHeight="1" spans="1:14">
      <c r="A6" s="33" t="s">
        <v>4315</v>
      </c>
      <c r="B6" s="33">
        <v>1</v>
      </c>
      <c r="C6" s="33">
        <v>2</v>
      </c>
      <c r="D6" s="33">
        <v>3</v>
      </c>
      <c r="E6" s="33">
        <v>4</v>
      </c>
      <c r="F6" s="33">
        <v>5</v>
      </c>
      <c r="G6" s="33">
        <v>6</v>
      </c>
      <c r="H6" s="32" t="s">
        <v>4315</v>
      </c>
      <c r="I6" s="32">
        <v>7</v>
      </c>
      <c r="J6" s="32">
        <v>8</v>
      </c>
      <c r="K6" s="32">
        <v>9</v>
      </c>
      <c r="L6" s="32">
        <v>10</v>
      </c>
      <c r="M6" s="32">
        <v>11</v>
      </c>
      <c r="N6" s="32">
        <v>12</v>
      </c>
    </row>
    <row r="7" s="29" customFormat="1" ht="27" customHeight="1" spans="1:14">
      <c r="A7" s="36" t="s">
        <v>1013</v>
      </c>
      <c r="B7" s="36">
        <f t="shared" ref="B7:B17" si="0">SUM(C7:D7)</f>
        <v>0</v>
      </c>
      <c r="C7" s="36"/>
      <c r="D7" s="36"/>
      <c r="E7" s="36">
        <f t="shared" ref="E7:E17" si="1">SUM(F7:G7)</f>
        <v>0</v>
      </c>
      <c r="F7" s="36"/>
      <c r="G7" s="36"/>
      <c r="H7" s="45" t="s">
        <v>1014</v>
      </c>
      <c r="I7" s="35">
        <f t="shared" ref="I7:I11" si="2">J7+K7</f>
        <v>6</v>
      </c>
      <c r="J7" s="35"/>
      <c r="K7" s="35">
        <v>6</v>
      </c>
      <c r="L7" s="35">
        <f t="shared" ref="L7:L11" si="3">M7+N7</f>
        <v>20</v>
      </c>
      <c r="M7" s="35"/>
      <c r="N7" s="32">
        <v>20</v>
      </c>
    </row>
    <row r="8" s="29" customFormat="1" ht="27" customHeight="1" spans="1:14">
      <c r="A8" s="36" t="s">
        <v>1015</v>
      </c>
      <c r="B8" s="36">
        <f t="shared" si="0"/>
        <v>0</v>
      </c>
      <c r="C8" s="36"/>
      <c r="D8" s="36"/>
      <c r="E8" s="36">
        <f t="shared" si="1"/>
        <v>0</v>
      </c>
      <c r="F8" s="36"/>
      <c r="G8" s="36"/>
      <c r="H8" s="35" t="s">
        <v>1016</v>
      </c>
      <c r="I8" s="35">
        <f t="shared" si="2"/>
        <v>0</v>
      </c>
      <c r="J8" s="35"/>
      <c r="K8" s="35"/>
      <c r="L8" s="35">
        <f t="shared" si="3"/>
        <v>0</v>
      </c>
      <c r="M8" s="35"/>
      <c r="N8" s="35"/>
    </row>
    <row r="9" s="29" customFormat="1" ht="27" customHeight="1" spans="1:14">
      <c r="A9" s="36" t="s">
        <v>1017</v>
      </c>
      <c r="B9" s="36">
        <f t="shared" si="0"/>
        <v>0</v>
      </c>
      <c r="C9" s="36"/>
      <c r="D9" s="36"/>
      <c r="E9" s="36">
        <f t="shared" si="1"/>
        <v>0</v>
      </c>
      <c r="F9" s="36"/>
      <c r="G9" s="36"/>
      <c r="H9" s="35" t="s">
        <v>1018</v>
      </c>
      <c r="I9" s="35">
        <f t="shared" si="2"/>
        <v>0</v>
      </c>
      <c r="J9" s="35"/>
      <c r="K9" s="35"/>
      <c r="L9" s="35">
        <f t="shared" si="3"/>
        <v>0</v>
      </c>
      <c r="M9" s="35"/>
      <c r="N9" s="35"/>
    </row>
    <row r="10" s="29" customFormat="1" ht="27" customHeight="1" spans="1:14">
      <c r="A10" s="36" t="s">
        <v>1019</v>
      </c>
      <c r="B10" s="36">
        <f t="shared" si="0"/>
        <v>0</v>
      </c>
      <c r="C10" s="36"/>
      <c r="D10" s="36"/>
      <c r="E10" s="36">
        <f t="shared" si="1"/>
        <v>0</v>
      </c>
      <c r="F10" s="36"/>
      <c r="G10" s="36"/>
      <c r="H10" s="35" t="s">
        <v>1020</v>
      </c>
      <c r="I10" s="35">
        <f t="shared" si="2"/>
        <v>0</v>
      </c>
      <c r="J10" s="35"/>
      <c r="K10" s="35"/>
      <c r="L10" s="35">
        <f t="shared" si="3"/>
        <v>0</v>
      </c>
      <c r="M10" s="35"/>
      <c r="N10" s="35"/>
    </row>
    <row r="11" s="29" customFormat="1" ht="27" customHeight="1" spans="1:14">
      <c r="A11" s="42" t="s">
        <v>1021</v>
      </c>
      <c r="B11" s="36">
        <f t="shared" si="0"/>
        <v>0</v>
      </c>
      <c r="C11" s="33"/>
      <c r="D11" s="33"/>
      <c r="E11" s="36">
        <f t="shared" si="1"/>
        <v>0</v>
      </c>
      <c r="F11" s="33"/>
      <c r="G11" s="36"/>
      <c r="H11" s="35" t="s">
        <v>1022</v>
      </c>
      <c r="I11" s="35">
        <f t="shared" si="2"/>
        <v>0</v>
      </c>
      <c r="J11" s="35"/>
      <c r="K11" s="35"/>
      <c r="L11" s="32">
        <f t="shared" si="3"/>
        <v>0</v>
      </c>
      <c r="M11" s="32"/>
      <c r="N11" s="32"/>
    </row>
    <row r="12" s="29" customFormat="1" ht="27" customHeight="1" spans="1:14">
      <c r="A12" s="33"/>
      <c r="B12" s="36">
        <f t="shared" si="0"/>
        <v>0</v>
      </c>
      <c r="C12" s="46"/>
      <c r="D12" s="46"/>
      <c r="E12" s="36">
        <f t="shared" si="1"/>
        <v>0</v>
      </c>
      <c r="F12" s="46"/>
      <c r="G12" s="46"/>
      <c r="H12" s="35"/>
      <c r="I12" s="35"/>
      <c r="J12" s="35"/>
      <c r="K12" s="35"/>
      <c r="L12" s="32"/>
      <c r="M12" s="32"/>
      <c r="N12" s="32"/>
    </row>
    <row r="13" s="29" customFormat="1" ht="27" customHeight="1" spans="1:14">
      <c r="A13" s="39" t="s">
        <v>1023</v>
      </c>
      <c r="B13" s="36">
        <f t="shared" si="0"/>
        <v>0</v>
      </c>
      <c r="C13" s="47">
        <f t="shared" ref="C13:G13" si="4">SUM(C7:C11)</f>
        <v>0</v>
      </c>
      <c r="D13" s="47">
        <f t="shared" si="4"/>
        <v>0</v>
      </c>
      <c r="E13" s="36">
        <f t="shared" si="1"/>
        <v>0</v>
      </c>
      <c r="F13" s="47">
        <f t="shared" si="4"/>
        <v>0</v>
      </c>
      <c r="G13" s="47">
        <f t="shared" si="4"/>
        <v>0</v>
      </c>
      <c r="H13" s="40" t="s">
        <v>1024</v>
      </c>
      <c r="I13" s="35">
        <f t="shared" ref="I13:I17" si="5">J13+K13</f>
        <v>6</v>
      </c>
      <c r="J13" s="32">
        <f t="shared" ref="J13:N13" si="6">SUM(J7:J11)</f>
        <v>0</v>
      </c>
      <c r="K13" s="32">
        <f t="shared" si="6"/>
        <v>6</v>
      </c>
      <c r="L13" s="32">
        <f t="shared" ref="L13:L17" si="7">M13+N13</f>
        <v>20</v>
      </c>
      <c r="M13" s="32">
        <f t="shared" si="6"/>
        <v>0</v>
      </c>
      <c r="N13" s="32">
        <f t="shared" si="6"/>
        <v>20</v>
      </c>
    </row>
    <row r="14" s="29" customFormat="1" ht="27" customHeight="1" spans="1:14">
      <c r="A14" s="42" t="s">
        <v>1025</v>
      </c>
      <c r="B14" s="36">
        <f t="shared" si="0"/>
        <v>6</v>
      </c>
      <c r="C14" s="33"/>
      <c r="D14" s="33">
        <v>6</v>
      </c>
      <c r="E14" s="36">
        <f t="shared" si="1"/>
        <v>7</v>
      </c>
      <c r="F14" s="33"/>
      <c r="G14" s="33">
        <v>7</v>
      </c>
      <c r="H14" s="37" t="s">
        <v>1026</v>
      </c>
      <c r="I14" s="32">
        <f>J14</f>
        <v>0</v>
      </c>
      <c r="J14" s="32"/>
      <c r="K14" s="32" t="s">
        <v>1027</v>
      </c>
      <c r="L14" s="32">
        <f>M14</f>
        <v>0</v>
      </c>
      <c r="M14" s="32"/>
      <c r="N14" s="32" t="s">
        <v>1027</v>
      </c>
    </row>
    <row r="15" s="29" customFormat="1" ht="27" customHeight="1" spans="1:14">
      <c r="A15" s="42" t="s">
        <v>1028</v>
      </c>
      <c r="B15" s="36">
        <f t="shared" si="0"/>
        <v>20</v>
      </c>
      <c r="C15" s="33"/>
      <c r="D15" s="33">
        <v>20</v>
      </c>
      <c r="E15" s="33">
        <f t="shared" si="1"/>
        <v>25</v>
      </c>
      <c r="F15" s="33"/>
      <c r="G15" s="33">
        <v>25</v>
      </c>
      <c r="H15" s="35" t="s">
        <v>1029</v>
      </c>
      <c r="I15" s="32">
        <f t="shared" si="5"/>
        <v>0</v>
      </c>
      <c r="J15" s="35"/>
      <c r="K15" s="35"/>
      <c r="L15" s="32">
        <f t="shared" si="7"/>
        <v>0</v>
      </c>
      <c r="M15" s="35"/>
      <c r="N15" s="35"/>
    </row>
    <row r="16" s="29" customFormat="1" ht="27" customHeight="1" spans="1:14">
      <c r="A16" s="47"/>
      <c r="B16" s="36">
        <f t="shared" si="0"/>
        <v>0</v>
      </c>
      <c r="C16" s="36"/>
      <c r="D16" s="36"/>
      <c r="E16" s="33">
        <f t="shared" si="1"/>
        <v>0</v>
      </c>
      <c r="F16" s="33"/>
      <c r="G16" s="33"/>
      <c r="H16" s="35" t="s">
        <v>694</v>
      </c>
      <c r="I16" s="32">
        <f t="shared" si="5"/>
        <v>20</v>
      </c>
      <c r="J16" s="35"/>
      <c r="K16" s="32">
        <v>20</v>
      </c>
      <c r="L16" s="32">
        <f t="shared" si="7"/>
        <v>0</v>
      </c>
      <c r="M16" s="32"/>
      <c r="N16" s="32"/>
    </row>
    <row r="17" s="29" customFormat="1" ht="27" customHeight="1" spans="1:14">
      <c r="A17" s="39" t="s">
        <v>1030</v>
      </c>
      <c r="B17" s="36">
        <f t="shared" si="0"/>
        <v>26</v>
      </c>
      <c r="C17" s="33">
        <f t="shared" ref="C17:G17" si="8">C13+C14+C15</f>
        <v>0</v>
      </c>
      <c r="D17" s="33">
        <f t="shared" si="8"/>
        <v>26</v>
      </c>
      <c r="E17" s="33">
        <f t="shared" si="1"/>
        <v>32</v>
      </c>
      <c r="F17" s="33">
        <f t="shared" si="8"/>
        <v>0</v>
      </c>
      <c r="G17" s="33">
        <f t="shared" si="8"/>
        <v>32</v>
      </c>
      <c r="H17" s="40" t="s">
        <v>1031</v>
      </c>
      <c r="I17" s="32">
        <f t="shared" si="5"/>
        <v>26</v>
      </c>
      <c r="J17" s="32">
        <f>J13+J14+J15+J16</f>
        <v>0</v>
      </c>
      <c r="K17" s="32">
        <f>K13+K15+K16</f>
        <v>26</v>
      </c>
      <c r="L17" s="32">
        <f t="shared" si="7"/>
        <v>20</v>
      </c>
      <c r="M17" s="32">
        <f>M13+M14+M15+M16</f>
        <v>0</v>
      </c>
      <c r="N17" s="32">
        <f>N13+N15+N16</f>
        <v>20</v>
      </c>
    </row>
    <row r="18" spans="1:7">
      <c r="A18" s="43"/>
      <c r="B18" s="43"/>
      <c r="C18" s="43"/>
      <c r="D18" s="43"/>
      <c r="E18" s="43"/>
      <c r="F18" s="43"/>
      <c r="G18" s="43"/>
    </row>
    <row r="19" spans="1:7">
      <c r="A19" s="43"/>
      <c r="B19" s="43"/>
      <c r="C19" s="43"/>
      <c r="D19" s="43"/>
      <c r="E19" s="43"/>
      <c r="F19" s="43"/>
      <c r="G19" s="43"/>
    </row>
  </sheetData>
  <mergeCells count="9">
    <mergeCell ref="A1:N1"/>
    <mergeCell ref="A3:G3"/>
    <mergeCell ref="H3:N3"/>
    <mergeCell ref="B4:D4"/>
    <mergeCell ref="E4:G4"/>
    <mergeCell ref="I4:K4"/>
    <mergeCell ref="L4:N4"/>
    <mergeCell ref="A4:A5"/>
    <mergeCell ref="H4:H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opLeftCell="H9" workbookViewId="0">
      <selection activeCell="H4" sqref="H4:N19"/>
    </sheetView>
  </sheetViews>
  <sheetFormatPr defaultColWidth="9" defaultRowHeight="15"/>
  <cols>
    <col min="1" max="1" width="25.25" style="29" hidden="1" customWidth="1"/>
    <col min="2" max="7" width="7.625" style="29" hidden="1" customWidth="1"/>
    <col min="8" max="8" width="29.5" style="29" customWidth="1"/>
    <col min="9" max="14" width="7.625" style="29" customWidth="1"/>
    <col min="15" max="16384" width="9" style="29"/>
  </cols>
  <sheetData>
    <row r="1" customFormat="1" ht="24.95" customHeight="1" spans="1:14">
      <c r="A1" s="30" t="s">
        <v>4320</v>
      </c>
      <c r="B1" s="30"/>
      <c r="C1" s="30"/>
      <c r="D1" s="30"/>
      <c r="E1" s="30"/>
      <c r="F1" s="30"/>
      <c r="G1" s="30"/>
      <c r="H1" s="30"/>
      <c r="I1" s="30"/>
      <c r="J1" s="30"/>
      <c r="K1" s="30"/>
      <c r="L1" s="30"/>
      <c r="M1" s="30"/>
      <c r="N1" s="30"/>
    </row>
    <row r="2" customFormat="1" ht="24" customHeight="1" spans="1:14">
      <c r="A2" s="31"/>
      <c r="B2" s="31"/>
      <c r="C2" s="31"/>
      <c r="D2" s="31"/>
      <c r="E2" s="31"/>
      <c r="F2" s="31"/>
      <c r="N2" s="44" t="s">
        <v>1005</v>
      </c>
    </row>
    <row r="3" s="29" customFormat="1" ht="27" customHeight="1" spans="1:14">
      <c r="A3" s="32" t="s">
        <v>4321</v>
      </c>
      <c r="B3" s="32"/>
      <c r="C3" s="32"/>
      <c r="D3" s="32"/>
      <c r="E3" s="32"/>
      <c r="F3" s="32"/>
      <c r="G3" s="32"/>
      <c r="H3" s="32" t="s">
        <v>4317</v>
      </c>
      <c r="I3" s="32"/>
      <c r="J3" s="32"/>
      <c r="K3" s="32"/>
      <c r="L3" s="32"/>
      <c r="M3" s="32"/>
      <c r="N3" s="32"/>
    </row>
    <row r="4" s="29" customFormat="1" ht="27" customHeight="1" spans="1:14">
      <c r="A4" s="32" t="s">
        <v>4318</v>
      </c>
      <c r="B4" s="647" t="s">
        <v>4319</v>
      </c>
      <c r="C4" s="32"/>
      <c r="D4" s="32"/>
      <c r="E4" s="647" t="s">
        <v>217</v>
      </c>
      <c r="F4" s="32"/>
      <c r="G4" s="32"/>
      <c r="H4" s="33" t="s">
        <v>4314</v>
      </c>
      <c r="I4" s="646" t="s">
        <v>1010</v>
      </c>
      <c r="J4" s="33"/>
      <c r="K4" s="33"/>
      <c r="L4" s="646" t="s">
        <v>1068</v>
      </c>
      <c r="M4" s="33"/>
      <c r="N4" s="33"/>
    </row>
    <row r="5" s="29" customFormat="1" ht="36.75" customHeight="1" spans="1:14">
      <c r="A5" s="32"/>
      <c r="B5" s="32" t="s">
        <v>959</v>
      </c>
      <c r="C5" s="32" t="s">
        <v>1011</v>
      </c>
      <c r="D5" s="648" t="s">
        <v>1012</v>
      </c>
      <c r="E5" s="32" t="s">
        <v>959</v>
      </c>
      <c r="F5" s="32" t="s">
        <v>1011</v>
      </c>
      <c r="G5" s="648" t="s">
        <v>1012</v>
      </c>
      <c r="H5" s="33"/>
      <c r="I5" s="33" t="s">
        <v>959</v>
      </c>
      <c r="J5" s="33" t="s">
        <v>1011</v>
      </c>
      <c r="K5" s="623" t="s">
        <v>1012</v>
      </c>
      <c r="L5" s="33" t="s">
        <v>959</v>
      </c>
      <c r="M5" s="33" t="s">
        <v>1011</v>
      </c>
      <c r="N5" s="623" t="s">
        <v>1012</v>
      </c>
    </row>
    <row r="6" s="29" customFormat="1" ht="27" customHeight="1" spans="1:14">
      <c r="A6" s="32" t="s">
        <v>4315</v>
      </c>
      <c r="B6" s="32">
        <v>1</v>
      </c>
      <c r="C6" s="32">
        <v>2</v>
      </c>
      <c r="D6" s="32">
        <v>3</v>
      </c>
      <c r="E6" s="32">
        <v>4</v>
      </c>
      <c r="F6" s="32">
        <v>5</v>
      </c>
      <c r="G6" s="32">
        <v>6</v>
      </c>
      <c r="H6" s="33" t="s">
        <v>4315</v>
      </c>
      <c r="I6" s="33">
        <v>7</v>
      </c>
      <c r="J6" s="33">
        <v>8</v>
      </c>
      <c r="K6" s="33">
        <v>9</v>
      </c>
      <c r="L6" s="33">
        <v>10</v>
      </c>
      <c r="M6" s="33">
        <v>11</v>
      </c>
      <c r="N6" s="33">
        <v>12</v>
      </c>
    </row>
    <row r="7" s="29" customFormat="1" ht="27" customHeight="1" spans="1:14">
      <c r="A7" s="35" t="s">
        <v>1013</v>
      </c>
      <c r="B7" s="35">
        <f t="shared" ref="B7:B17" si="0">SUM(C7:D7)</f>
        <v>0</v>
      </c>
      <c r="C7" s="35"/>
      <c r="D7" s="35"/>
      <c r="E7" s="35">
        <f t="shared" ref="E7:E17" si="1">SUM(F7:G7)</f>
        <v>0</v>
      </c>
      <c r="F7" s="35"/>
      <c r="G7" s="35"/>
      <c r="H7" s="16" t="s">
        <v>1014</v>
      </c>
      <c r="I7" s="36">
        <f t="shared" ref="I7:I11" si="2">J7+K7</f>
        <v>1</v>
      </c>
      <c r="J7" s="36"/>
      <c r="K7" s="36">
        <v>1</v>
      </c>
      <c r="L7" s="36">
        <f t="shared" ref="L7:L11" si="3">M7+N7</f>
        <v>32</v>
      </c>
      <c r="M7" s="36"/>
      <c r="N7" s="33">
        <v>32</v>
      </c>
    </row>
    <row r="8" s="29" customFormat="1" ht="27" customHeight="1" spans="1:14">
      <c r="A8" s="35" t="s">
        <v>1015</v>
      </c>
      <c r="B8" s="35">
        <f t="shared" si="0"/>
        <v>0</v>
      </c>
      <c r="C8" s="35"/>
      <c r="D8" s="35"/>
      <c r="E8" s="35">
        <f t="shared" si="1"/>
        <v>0</v>
      </c>
      <c r="F8" s="35"/>
      <c r="G8" s="35"/>
      <c r="H8" s="36" t="s">
        <v>1016</v>
      </c>
      <c r="I8" s="36">
        <f t="shared" si="2"/>
        <v>0</v>
      </c>
      <c r="J8" s="36"/>
      <c r="K8" s="36"/>
      <c r="L8" s="36">
        <f t="shared" si="3"/>
        <v>0</v>
      </c>
      <c r="M8" s="36"/>
      <c r="N8" s="36"/>
    </row>
    <row r="9" s="29" customFormat="1" ht="27" customHeight="1" spans="1:14">
      <c r="A9" s="35" t="s">
        <v>1017</v>
      </c>
      <c r="B9" s="35">
        <f t="shared" si="0"/>
        <v>0</v>
      </c>
      <c r="C9" s="35"/>
      <c r="D9" s="35"/>
      <c r="E9" s="35">
        <f t="shared" si="1"/>
        <v>0</v>
      </c>
      <c r="F9" s="35"/>
      <c r="G9" s="35"/>
      <c r="H9" s="36" t="s">
        <v>1018</v>
      </c>
      <c r="I9" s="36">
        <f t="shared" si="2"/>
        <v>0</v>
      </c>
      <c r="J9" s="36"/>
      <c r="K9" s="36"/>
      <c r="L9" s="36">
        <f t="shared" si="3"/>
        <v>0</v>
      </c>
      <c r="M9" s="36"/>
      <c r="N9" s="36"/>
    </row>
    <row r="10" s="29" customFormat="1" ht="27" customHeight="1" spans="1:14">
      <c r="A10" s="35" t="s">
        <v>1019</v>
      </c>
      <c r="B10" s="35">
        <f t="shared" si="0"/>
        <v>0</v>
      </c>
      <c r="C10" s="35"/>
      <c r="D10" s="35"/>
      <c r="E10" s="35">
        <f t="shared" si="1"/>
        <v>0</v>
      </c>
      <c r="F10" s="35"/>
      <c r="G10" s="35"/>
      <c r="H10" s="36" t="s">
        <v>1020</v>
      </c>
      <c r="I10" s="36">
        <f t="shared" si="2"/>
        <v>0</v>
      </c>
      <c r="J10" s="36"/>
      <c r="K10" s="36"/>
      <c r="L10" s="36">
        <f t="shared" si="3"/>
        <v>0</v>
      </c>
      <c r="M10" s="36"/>
      <c r="N10" s="36"/>
    </row>
    <row r="11" s="29" customFormat="1" ht="27" customHeight="1" spans="1:14">
      <c r="A11" s="37" t="s">
        <v>1021</v>
      </c>
      <c r="B11" s="35">
        <f t="shared" si="0"/>
        <v>0</v>
      </c>
      <c r="C11" s="32"/>
      <c r="D11" s="32"/>
      <c r="E11" s="35">
        <f t="shared" si="1"/>
        <v>0</v>
      </c>
      <c r="F11" s="32"/>
      <c r="G11" s="35"/>
      <c r="H11" s="36" t="s">
        <v>1022</v>
      </c>
      <c r="I11" s="36">
        <f t="shared" si="2"/>
        <v>0</v>
      </c>
      <c r="J11" s="36"/>
      <c r="K11" s="36"/>
      <c r="L11" s="33">
        <f t="shared" si="3"/>
        <v>0</v>
      </c>
      <c r="M11" s="33"/>
      <c r="N11" s="33"/>
    </row>
    <row r="12" s="29" customFormat="1" ht="27" customHeight="1" spans="1:14">
      <c r="A12" s="32"/>
      <c r="B12" s="35">
        <f t="shared" si="0"/>
        <v>0</v>
      </c>
      <c r="C12" s="38"/>
      <c r="D12" s="38"/>
      <c r="E12" s="35">
        <f t="shared" si="1"/>
        <v>0</v>
      </c>
      <c r="F12" s="38"/>
      <c r="G12" s="38"/>
      <c r="H12" s="36"/>
      <c r="I12" s="36"/>
      <c r="J12" s="36"/>
      <c r="K12" s="36"/>
      <c r="L12" s="33"/>
      <c r="M12" s="33"/>
      <c r="N12" s="33"/>
    </row>
    <row r="13" s="29" customFormat="1" ht="27" customHeight="1" spans="1:14">
      <c r="A13" s="40" t="s">
        <v>1023</v>
      </c>
      <c r="B13" s="35">
        <f t="shared" si="0"/>
        <v>0</v>
      </c>
      <c r="C13" s="41">
        <f t="shared" ref="C13:G13" si="4">SUM(C7:C11)</f>
        <v>0</v>
      </c>
      <c r="D13" s="41">
        <f t="shared" si="4"/>
        <v>0</v>
      </c>
      <c r="E13" s="35">
        <f t="shared" si="1"/>
        <v>0</v>
      </c>
      <c r="F13" s="41">
        <f t="shared" si="4"/>
        <v>0</v>
      </c>
      <c r="G13" s="41">
        <f t="shared" si="4"/>
        <v>0</v>
      </c>
      <c r="H13" s="39" t="s">
        <v>1024</v>
      </c>
      <c r="I13" s="36">
        <f t="shared" ref="I13:I17" si="5">J13+K13</f>
        <v>1</v>
      </c>
      <c r="J13" s="33">
        <f t="shared" ref="J13:N13" si="6">SUM(J7:J11)</f>
        <v>0</v>
      </c>
      <c r="K13" s="33">
        <f t="shared" si="6"/>
        <v>1</v>
      </c>
      <c r="L13" s="33">
        <f t="shared" ref="L13:L17" si="7">M13+N13</f>
        <v>32</v>
      </c>
      <c r="M13" s="33">
        <f t="shared" si="6"/>
        <v>0</v>
      </c>
      <c r="N13" s="33">
        <f t="shared" si="6"/>
        <v>32</v>
      </c>
    </row>
    <row r="14" s="29" customFormat="1" ht="27" customHeight="1" spans="1:14">
      <c r="A14" s="37" t="s">
        <v>1025</v>
      </c>
      <c r="B14" s="35">
        <f t="shared" si="0"/>
        <v>7</v>
      </c>
      <c r="C14" s="32"/>
      <c r="D14" s="32">
        <v>7</v>
      </c>
      <c r="E14" s="35">
        <f t="shared" si="1"/>
        <v>0</v>
      </c>
      <c r="F14" s="32"/>
      <c r="G14" s="32"/>
      <c r="H14" s="42" t="s">
        <v>1026</v>
      </c>
      <c r="I14" s="33">
        <f>J14</f>
        <v>0</v>
      </c>
      <c r="J14" s="33"/>
      <c r="K14" s="33" t="s">
        <v>1027</v>
      </c>
      <c r="L14" s="33">
        <f>M14</f>
        <v>0</v>
      </c>
      <c r="M14" s="33"/>
      <c r="N14" s="33" t="s">
        <v>1027</v>
      </c>
    </row>
    <row r="15" s="29" customFormat="1" ht="27" customHeight="1" spans="1:14">
      <c r="A15" s="37" t="s">
        <v>1028</v>
      </c>
      <c r="B15" s="35">
        <f t="shared" si="0"/>
        <v>19</v>
      </c>
      <c r="C15" s="32"/>
      <c r="D15" s="32">
        <v>19</v>
      </c>
      <c r="E15" s="32">
        <f t="shared" si="1"/>
        <v>20</v>
      </c>
      <c r="F15" s="32"/>
      <c r="G15" s="33">
        <v>20</v>
      </c>
      <c r="H15" s="36" t="s">
        <v>1029</v>
      </c>
      <c r="I15" s="33">
        <f t="shared" si="5"/>
        <v>0</v>
      </c>
      <c r="J15" s="36"/>
      <c r="K15" s="36"/>
      <c r="L15" s="33">
        <f t="shared" si="7"/>
        <v>0</v>
      </c>
      <c r="M15" s="36"/>
      <c r="N15" s="36"/>
    </row>
    <row r="16" s="29" customFormat="1" ht="27" customHeight="1" spans="1:14">
      <c r="A16" s="41"/>
      <c r="B16" s="35">
        <f t="shared" si="0"/>
        <v>0</v>
      </c>
      <c r="C16" s="35"/>
      <c r="D16" s="35"/>
      <c r="E16" s="32">
        <f t="shared" si="1"/>
        <v>0</v>
      </c>
      <c r="F16" s="32"/>
      <c r="G16" s="32"/>
      <c r="H16" s="36" t="s">
        <v>694</v>
      </c>
      <c r="I16" s="33">
        <f t="shared" si="5"/>
        <v>25</v>
      </c>
      <c r="J16" s="36"/>
      <c r="K16" s="33">
        <v>25</v>
      </c>
      <c r="L16" s="33">
        <f t="shared" si="7"/>
        <v>0</v>
      </c>
      <c r="M16" s="33"/>
      <c r="N16" s="33"/>
    </row>
    <row r="17" s="29" customFormat="1" ht="27" customHeight="1" spans="1:14">
      <c r="A17" s="40" t="s">
        <v>1030</v>
      </c>
      <c r="B17" s="35">
        <f t="shared" si="0"/>
        <v>26</v>
      </c>
      <c r="C17" s="32">
        <f t="shared" ref="C17:G17" si="8">C13+C14+C15</f>
        <v>0</v>
      </c>
      <c r="D17" s="32">
        <f t="shared" si="8"/>
        <v>26</v>
      </c>
      <c r="E17" s="32">
        <f t="shared" si="1"/>
        <v>20</v>
      </c>
      <c r="F17" s="32">
        <f t="shared" si="8"/>
        <v>0</v>
      </c>
      <c r="G17" s="32">
        <f t="shared" si="8"/>
        <v>20</v>
      </c>
      <c r="H17" s="39" t="s">
        <v>1031</v>
      </c>
      <c r="I17" s="33">
        <f t="shared" si="5"/>
        <v>26</v>
      </c>
      <c r="J17" s="33">
        <f>J13+J14+J15+J16</f>
        <v>0</v>
      </c>
      <c r="K17" s="33">
        <f>K13+K15+K16</f>
        <v>26</v>
      </c>
      <c r="L17" s="33">
        <f t="shared" si="7"/>
        <v>32</v>
      </c>
      <c r="M17" s="33">
        <f>M13+M14+M15+M16</f>
        <v>0</v>
      </c>
      <c r="N17" s="33">
        <f>N13+N15+N16</f>
        <v>32</v>
      </c>
    </row>
    <row r="18" spans="8:14">
      <c r="H18" s="43"/>
      <c r="I18" s="43"/>
      <c r="J18" s="43"/>
      <c r="K18" s="43"/>
      <c r="L18" s="43"/>
      <c r="M18" s="43"/>
      <c r="N18" s="43"/>
    </row>
  </sheetData>
  <mergeCells count="9">
    <mergeCell ref="A1:N1"/>
    <mergeCell ref="A3:G3"/>
    <mergeCell ref="H3:N3"/>
    <mergeCell ref="B4:D4"/>
    <mergeCell ref="E4:G4"/>
    <mergeCell ref="I4:K4"/>
    <mergeCell ref="L4:N4"/>
    <mergeCell ref="A4:A5"/>
    <mergeCell ref="H4:H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opLeftCell="H1" workbookViewId="0">
      <selection activeCell="P10" sqref="P10"/>
    </sheetView>
  </sheetViews>
  <sheetFormatPr defaultColWidth="9" defaultRowHeight="15"/>
  <cols>
    <col min="1" max="1" width="25.25" style="29" hidden="1" customWidth="1"/>
    <col min="2" max="7" width="7.625" style="29" hidden="1" customWidth="1"/>
    <col min="8" max="8" width="29.5" style="29" customWidth="1"/>
    <col min="9" max="14" width="7.625" style="29" customWidth="1"/>
    <col min="15" max="16384" width="9" style="29"/>
  </cols>
  <sheetData>
    <row r="1" customFormat="1" ht="24.95" customHeight="1" spans="1:14">
      <c r="A1" s="30" t="s">
        <v>4322</v>
      </c>
      <c r="B1" s="30"/>
      <c r="C1" s="30"/>
      <c r="D1" s="30"/>
      <c r="E1" s="30"/>
      <c r="F1" s="30"/>
      <c r="G1" s="30"/>
      <c r="H1" s="30"/>
      <c r="I1" s="30"/>
      <c r="J1" s="30"/>
      <c r="K1" s="30"/>
      <c r="L1" s="30"/>
      <c r="M1" s="30"/>
      <c r="N1" s="30"/>
    </row>
    <row r="2" customFormat="1" ht="24" customHeight="1" spans="1:14">
      <c r="A2" s="31"/>
      <c r="B2" s="31"/>
      <c r="C2" s="31"/>
      <c r="D2" s="31"/>
      <c r="E2" s="31"/>
      <c r="F2" s="31"/>
      <c r="N2" s="44" t="s">
        <v>1005</v>
      </c>
    </row>
    <row r="3" s="29" customFormat="1" ht="27" customHeight="1" spans="1:14">
      <c r="A3" s="32" t="s">
        <v>4321</v>
      </c>
      <c r="B3" s="32"/>
      <c r="C3" s="32"/>
      <c r="D3" s="32"/>
      <c r="E3" s="32"/>
      <c r="F3" s="32"/>
      <c r="G3" s="32"/>
      <c r="H3" s="33" t="s">
        <v>4314</v>
      </c>
      <c r="I3" s="646" t="s">
        <v>1010</v>
      </c>
      <c r="J3" s="33"/>
      <c r="K3" s="33"/>
      <c r="L3" s="646" t="s">
        <v>1068</v>
      </c>
      <c r="M3" s="33"/>
      <c r="N3" s="33"/>
    </row>
    <row r="4" s="29" customFormat="1" ht="27" customHeight="1" spans="1:14">
      <c r="A4" s="32" t="s">
        <v>4318</v>
      </c>
      <c r="B4" s="647" t="s">
        <v>4319</v>
      </c>
      <c r="C4" s="32"/>
      <c r="D4" s="32"/>
      <c r="E4" s="647" t="s">
        <v>217</v>
      </c>
      <c r="F4" s="32"/>
      <c r="G4" s="32"/>
      <c r="H4" s="33"/>
      <c r="I4" s="33" t="s">
        <v>959</v>
      </c>
      <c r="J4" s="33" t="s">
        <v>1011</v>
      </c>
      <c r="K4" s="623" t="s">
        <v>1012</v>
      </c>
      <c r="L4" s="33" t="s">
        <v>959</v>
      </c>
      <c r="M4" s="33" t="s">
        <v>1011</v>
      </c>
      <c r="N4" s="623" t="s">
        <v>1012</v>
      </c>
    </row>
    <row r="5" s="29" customFormat="1" ht="36.75" customHeight="1" spans="1:14">
      <c r="A5" s="32"/>
      <c r="B5" s="32" t="s">
        <v>959</v>
      </c>
      <c r="C5" s="32" t="s">
        <v>1011</v>
      </c>
      <c r="D5" s="648" t="s">
        <v>1012</v>
      </c>
      <c r="E5" s="32" t="s">
        <v>959</v>
      </c>
      <c r="F5" s="32" t="s">
        <v>1011</v>
      </c>
      <c r="G5" s="648" t="s">
        <v>1012</v>
      </c>
      <c r="H5" s="33" t="s">
        <v>4315</v>
      </c>
      <c r="I5" s="33">
        <v>7</v>
      </c>
      <c r="J5" s="33">
        <v>8</v>
      </c>
      <c r="K5" s="33">
        <v>9</v>
      </c>
      <c r="L5" s="33">
        <v>10</v>
      </c>
      <c r="M5" s="33">
        <v>11</v>
      </c>
      <c r="N5" s="33">
        <v>12</v>
      </c>
    </row>
    <row r="6" s="29" customFormat="1" ht="27" customHeight="1" spans="1:14">
      <c r="A6" s="32" t="s">
        <v>4315</v>
      </c>
      <c r="B6" s="32">
        <v>1</v>
      </c>
      <c r="C6" s="32">
        <v>2</v>
      </c>
      <c r="D6" s="32">
        <v>3</v>
      </c>
      <c r="E6" s="32">
        <v>4</v>
      </c>
      <c r="F6" s="32">
        <v>5</v>
      </c>
      <c r="G6" s="32">
        <v>6</v>
      </c>
      <c r="H6" s="16" t="s">
        <v>1014</v>
      </c>
      <c r="I6" s="36">
        <f t="shared" ref="I6:I10" si="0">J6+K6</f>
        <v>1</v>
      </c>
      <c r="J6" s="36"/>
      <c r="K6" s="36">
        <v>1</v>
      </c>
      <c r="L6" s="36">
        <f t="shared" ref="L6:L10" si="1">M6+N6</f>
        <v>32</v>
      </c>
      <c r="M6" s="36"/>
      <c r="N6" s="33">
        <v>32</v>
      </c>
    </row>
    <row r="7" s="29" customFormat="1" ht="27" customHeight="1" spans="1:14">
      <c r="A7" s="35" t="s">
        <v>1013</v>
      </c>
      <c r="B7" s="35">
        <f t="shared" ref="B7:B17" si="2">SUM(C7:D7)</f>
        <v>0</v>
      </c>
      <c r="C7" s="35"/>
      <c r="D7" s="35"/>
      <c r="E7" s="35">
        <f t="shared" ref="E7:E17" si="3">SUM(F7:G7)</f>
        <v>0</v>
      </c>
      <c r="F7" s="35"/>
      <c r="G7" s="35"/>
      <c r="H7" s="36" t="s">
        <v>1016</v>
      </c>
      <c r="I7" s="36">
        <f t="shared" si="0"/>
        <v>0</v>
      </c>
      <c r="J7" s="36"/>
      <c r="K7" s="36"/>
      <c r="L7" s="36">
        <f t="shared" si="1"/>
        <v>0</v>
      </c>
      <c r="M7" s="36"/>
      <c r="N7" s="36"/>
    </row>
    <row r="8" s="29" customFormat="1" ht="27" customHeight="1" spans="1:14">
      <c r="A8" s="35" t="s">
        <v>1015</v>
      </c>
      <c r="B8" s="35">
        <f t="shared" si="2"/>
        <v>0</v>
      </c>
      <c r="C8" s="35"/>
      <c r="D8" s="35"/>
      <c r="E8" s="35">
        <f t="shared" si="3"/>
        <v>0</v>
      </c>
      <c r="F8" s="35"/>
      <c r="G8" s="35"/>
      <c r="H8" s="36" t="s">
        <v>1018</v>
      </c>
      <c r="I8" s="36">
        <f t="shared" si="0"/>
        <v>0</v>
      </c>
      <c r="J8" s="36"/>
      <c r="K8" s="36"/>
      <c r="L8" s="36">
        <f t="shared" si="1"/>
        <v>0</v>
      </c>
      <c r="M8" s="36"/>
      <c r="N8" s="36"/>
    </row>
    <row r="9" s="29" customFormat="1" ht="27" customHeight="1" spans="1:14">
      <c r="A9" s="35" t="s">
        <v>1017</v>
      </c>
      <c r="B9" s="35">
        <f t="shared" si="2"/>
        <v>0</v>
      </c>
      <c r="C9" s="35"/>
      <c r="D9" s="35"/>
      <c r="E9" s="35">
        <f t="shared" si="3"/>
        <v>0</v>
      </c>
      <c r="F9" s="35"/>
      <c r="G9" s="35"/>
      <c r="H9" s="36" t="s">
        <v>1020</v>
      </c>
      <c r="I9" s="36">
        <f t="shared" si="0"/>
        <v>0</v>
      </c>
      <c r="J9" s="36"/>
      <c r="K9" s="36"/>
      <c r="L9" s="36">
        <f t="shared" si="1"/>
        <v>0</v>
      </c>
      <c r="M9" s="36"/>
      <c r="N9" s="36"/>
    </row>
    <row r="10" s="29" customFormat="1" ht="27" customHeight="1" spans="1:14">
      <c r="A10" s="35" t="s">
        <v>1019</v>
      </c>
      <c r="B10" s="35">
        <f t="shared" si="2"/>
        <v>0</v>
      </c>
      <c r="C10" s="35"/>
      <c r="D10" s="35"/>
      <c r="E10" s="35">
        <f t="shared" si="3"/>
        <v>0</v>
      </c>
      <c r="F10" s="35"/>
      <c r="G10" s="35"/>
      <c r="H10" s="36" t="s">
        <v>1022</v>
      </c>
      <c r="I10" s="36">
        <f t="shared" si="0"/>
        <v>0</v>
      </c>
      <c r="J10" s="36"/>
      <c r="K10" s="36"/>
      <c r="L10" s="33">
        <f t="shared" si="1"/>
        <v>0</v>
      </c>
      <c r="M10" s="33"/>
      <c r="N10" s="33"/>
    </row>
    <row r="11" s="29" customFormat="1" ht="27" customHeight="1" spans="1:14">
      <c r="A11" s="37" t="s">
        <v>1021</v>
      </c>
      <c r="B11" s="35">
        <f t="shared" si="2"/>
        <v>0</v>
      </c>
      <c r="C11" s="32"/>
      <c r="D11" s="32"/>
      <c r="E11" s="35">
        <f t="shared" si="3"/>
        <v>0</v>
      </c>
      <c r="F11" s="32"/>
      <c r="G11" s="35"/>
      <c r="H11" s="36"/>
      <c r="I11" s="36"/>
      <c r="J11" s="36"/>
      <c r="K11" s="36"/>
      <c r="L11" s="33"/>
      <c r="M11" s="33"/>
      <c r="N11" s="33"/>
    </row>
    <row r="12" s="29" customFormat="1" ht="27" customHeight="1" spans="1:14">
      <c r="A12" s="32"/>
      <c r="B12" s="35">
        <f t="shared" si="2"/>
        <v>0</v>
      </c>
      <c r="C12" s="38"/>
      <c r="D12" s="38"/>
      <c r="E12" s="35">
        <f t="shared" si="3"/>
        <v>0</v>
      </c>
      <c r="F12" s="38"/>
      <c r="G12" s="38"/>
      <c r="H12" s="39" t="s">
        <v>1024</v>
      </c>
      <c r="I12" s="36">
        <f t="shared" ref="I12:I16" si="4">J12+K12</f>
        <v>1</v>
      </c>
      <c r="J12" s="33">
        <f t="shared" ref="J12:N12" si="5">SUM(J6:J10)</f>
        <v>0</v>
      </c>
      <c r="K12" s="33">
        <f t="shared" si="5"/>
        <v>1</v>
      </c>
      <c r="L12" s="33">
        <f t="shared" ref="L12:L16" si="6">M12+N12</f>
        <v>32</v>
      </c>
      <c r="M12" s="33">
        <f t="shared" si="5"/>
        <v>0</v>
      </c>
      <c r="N12" s="33">
        <f t="shared" si="5"/>
        <v>32</v>
      </c>
    </row>
    <row r="13" s="29" customFormat="1" ht="27" customHeight="1" spans="1:14">
      <c r="A13" s="40" t="s">
        <v>1023</v>
      </c>
      <c r="B13" s="35">
        <f t="shared" si="2"/>
        <v>0</v>
      </c>
      <c r="C13" s="41">
        <f t="shared" ref="C13:G13" si="7">SUM(C7:C11)</f>
        <v>0</v>
      </c>
      <c r="D13" s="41">
        <f t="shared" si="7"/>
        <v>0</v>
      </c>
      <c r="E13" s="35">
        <f t="shared" si="3"/>
        <v>0</v>
      </c>
      <c r="F13" s="41">
        <f t="shared" si="7"/>
        <v>0</v>
      </c>
      <c r="G13" s="41">
        <f t="shared" si="7"/>
        <v>0</v>
      </c>
      <c r="H13" s="42" t="s">
        <v>1026</v>
      </c>
      <c r="I13" s="33">
        <f>J13</f>
        <v>0</v>
      </c>
      <c r="J13" s="33"/>
      <c r="K13" s="33" t="s">
        <v>1027</v>
      </c>
      <c r="L13" s="33">
        <f>M13</f>
        <v>0</v>
      </c>
      <c r="M13" s="33"/>
      <c r="N13" s="33" t="s">
        <v>1027</v>
      </c>
    </row>
    <row r="14" s="29" customFormat="1" ht="27" customHeight="1" spans="1:14">
      <c r="A14" s="37" t="s">
        <v>1025</v>
      </c>
      <c r="B14" s="35">
        <f t="shared" si="2"/>
        <v>7</v>
      </c>
      <c r="C14" s="32"/>
      <c r="D14" s="32">
        <v>7</v>
      </c>
      <c r="E14" s="35">
        <f t="shared" si="3"/>
        <v>0</v>
      </c>
      <c r="F14" s="32"/>
      <c r="G14" s="32"/>
      <c r="H14" s="36" t="s">
        <v>1029</v>
      </c>
      <c r="I14" s="33">
        <f t="shared" si="4"/>
        <v>0</v>
      </c>
      <c r="J14" s="36"/>
      <c r="K14" s="36"/>
      <c r="L14" s="33">
        <f t="shared" si="6"/>
        <v>0</v>
      </c>
      <c r="M14" s="36"/>
      <c r="N14" s="36"/>
    </row>
    <row r="15" s="29" customFormat="1" ht="27" customHeight="1" spans="1:14">
      <c r="A15" s="37" t="s">
        <v>1028</v>
      </c>
      <c r="B15" s="35">
        <f t="shared" si="2"/>
        <v>19</v>
      </c>
      <c r="C15" s="32"/>
      <c r="D15" s="32">
        <v>19</v>
      </c>
      <c r="E15" s="32">
        <f t="shared" si="3"/>
        <v>20</v>
      </c>
      <c r="F15" s="32"/>
      <c r="G15" s="33">
        <v>20</v>
      </c>
      <c r="H15" s="36" t="s">
        <v>694</v>
      </c>
      <c r="I15" s="33">
        <f t="shared" si="4"/>
        <v>25</v>
      </c>
      <c r="J15" s="36"/>
      <c r="K15" s="33">
        <v>25</v>
      </c>
      <c r="L15" s="33">
        <f t="shared" si="6"/>
        <v>0</v>
      </c>
      <c r="M15" s="33"/>
      <c r="N15" s="33"/>
    </row>
    <row r="16" s="29" customFormat="1" ht="27" customHeight="1" spans="1:14">
      <c r="A16" s="41"/>
      <c r="B16" s="35">
        <f t="shared" si="2"/>
        <v>0</v>
      </c>
      <c r="C16" s="35"/>
      <c r="D16" s="35"/>
      <c r="E16" s="32">
        <f t="shared" si="3"/>
        <v>0</v>
      </c>
      <c r="F16" s="32"/>
      <c r="G16" s="32"/>
      <c r="H16" s="39" t="s">
        <v>1031</v>
      </c>
      <c r="I16" s="33">
        <f t="shared" si="4"/>
        <v>26</v>
      </c>
      <c r="J16" s="33">
        <f>J12+J13+J14+J15</f>
        <v>0</v>
      </c>
      <c r="K16" s="33">
        <f>K12+K14+K15</f>
        <v>26</v>
      </c>
      <c r="L16" s="33">
        <f t="shared" si="6"/>
        <v>32</v>
      </c>
      <c r="M16" s="33">
        <f>M12+M13+M14+M15</f>
        <v>0</v>
      </c>
      <c r="N16" s="33">
        <f>N12+N14+N15</f>
        <v>32</v>
      </c>
    </row>
    <row r="17" s="29" customFormat="1" ht="27" customHeight="1" spans="1:14">
      <c r="A17" s="40" t="s">
        <v>1030</v>
      </c>
      <c r="B17" s="35">
        <f t="shared" si="2"/>
        <v>26</v>
      </c>
      <c r="C17" s="32">
        <f t="shared" ref="C17:G17" si="8">C13+C14+C15</f>
        <v>0</v>
      </c>
      <c r="D17" s="32">
        <f t="shared" si="8"/>
        <v>26</v>
      </c>
      <c r="E17" s="32">
        <f t="shared" si="3"/>
        <v>20</v>
      </c>
      <c r="F17" s="32">
        <f t="shared" si="8"/>
        <v>0</v>
      </c>
      <c r="G17" s="32">
        <f t="shared" si="8"/>
        <v>20</v>
      </c>
      <c r="H17" s="43"/>
      <c r="I17" s="43"/>
      <c r="J17" s="43"/>
      <c r="K17" s="43"/>
      <c r="L17" s="43"/>
      <c r="M17" s="43"/>
      <c r="N17" s="43"/>
    </row>
  </sheetData>
  <mergeCells count="8">
    <mergeCell ref="A1:N1"/>
    <mergeCell ref="A3:G3"/>
    <mergeCell ref="I3:K3"/>
    <mergeCell ref="L3:N3"/>
    <mergeCell ref="B4:D4"/>
    <mergeCell ref="E4:G4"/>
    <mergeCell ref="A4:A5"/>
    <mergeCell ref="H3:H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zoomScaleSheetLayoutView="60" workbookViewId="0">
      <selection activeCell="H6" sqref="H6"/>
    </sheetView>
  </sheetViews>
  <sheetFormatPr defaultColWidth="9" defaultRowHeight="12.5"/>
  <cols>
    <col min="1" max="1" width="7.25" style="4" customWidth="1"/>
    <col min="2" max="2" width="16.5" style="5" customWidth="1"/>
    <col min="3" max="3" width="9.875" style="5" customWidth="1"/>
    <col min="4" max="4" width="12" style="5" customWidth="1"/>
    <col min="5" max="6" width="9.875" style="4" customWidth="1"/>
    <col min="7" max="8" width="10.125" style="4" customWidth="1"/>
    <col min="9" max="9" width="9.625" style="4" customWidth="1"/>
    <col min="10" max="10" width="9.375" style="4" customWidth="1"/>
    <col min="11" max="11" width="33.5" style="4" customWidth="1"/>
    <col min="12" max="12" width="9" style="1"/>
    <col min="13" max="13" width="16.25" style="1" customWidth="1"/>
    <col min="14" max="14" width="30" style="1" hidden="1" customWidth="1"/>
    <col min="15" max="15" width="9" style="1" hidden="1" customWidth="1"/>
    <col min="16" max="16384" width="9" style="1"/>
  </cols>
  <sheetData>
    <row r="1" s="1" customFormat="1" ht="33.75" customHeight="1" spans="1:11">
      <c r="A1" s="649" t="s">
        <v>4323</v>
      </c>
      <c r="B1" s="6"/>
      <c r="C1" s="6"/>
      <c r="D1" s="6"/>
      <c r="E1" s="6"/>
      <c r="F1" s="6"/>
      <c r="G1" s="6"/>
      <c r="H1" s="6"/>
      <c r="I1" s="6"/>
      <c r="J1" s="6"/>
      <c r="K1" s="6"/>
    </row>
    <row r="2" s="1" customFormat="1" ht="18" customHeight="1" spans="1:11">
      <c r="A2" s="7"/>
      <c r="B2" s="7"/>
      <c r="C2" s="8"/>
      <c r="D2" s="8"/>
      <c r="E2" s="9"/>
      <c r="F2" s="9"/>
      <c r="G2" s="9"/>
      <c r="H2" s="9"/>
      <c r="I2" s="9"/>
      <c r="J2" s="9"/>
      <c r="K2" s="21" t="s">
        <v>51</v>
      </c>
    </row>
    <row r="3" s="2" customFormat="1" ht="30" customHeight="1" spans="1:11">
      <c r="A3" s="10"/>
      <c r="B3" s="10" t="s">
        <v>1034</v>
      </c>
      <c r="C3" s="623" t="s">
        <v>217</v>
      </c>
      <c r="D3" s="10"/>
      <c r="E3" s="623" t="s">
        <v>1010</v>
      </c>
      <c r="F3" s="10"/>
      <c r="G3" s="650" t="s">
        <v>1068</v>
      </c>
      <c r="H3" s="12"/>
      <c r="I3" s="12"/>
      <c r="J3" s="22"/>
      <c r="K3" s="23" t="s">
        <v>1036</v>
      </c>
    </row>
    <row r="4" s="3" customFormat="1" ht="55.5" customHeight="1" spans="1:11">
      <c r="A4" s="10"/>
      <c r="B4" s="10"/>
      <c r="C4" s="10" t="s">
        <v>959</v>
      </c>
      <c r="D4" s="10" t="s">
        <v>1038</v>
      </c>
      <c r="E4" s="10" t="s">
        <v>959</v>
      </c>
      <c r="F4" s="10" t="s">
        <v>1038</v>
      </c>
      <c r="G4" s="10" t="s">
        <v>959</v>
      </c>
      <c r="H4" s="10" t="s">
        <v>4324</v>
      </c>
      <c r="I4" s="10" t="s">
        <v>1038</v>
      </c>
      <c r="J4" s="10" t="s">
        <v>4324</v>
      </c>
      <c r="K4" s="24"/>
    </row>
    <row r="5" s="3" customFormat="1" ht="92" customHeight="1" spans="1:15">
      <c r="A5" s="10"/>
      <c r="B5" s="10" t="s">
        <v>959</v>
      </c>
      <c r="C5" s="13">
        <f t="shared" ref="C5:G5" si="0">SUM(C6:C9)</f>
        <v>757</v>
      </c>
      <c r="D5" s="13">
        <f t="shared" si="0"/>
        <v>731</v>
      </c>
      <c r="E5" s="13">
        <f t="shared" si="0"/>
        <v>486</v>
      </c>
      <c r="F5" s="13">
        <f t="shared" si="0"/>
        <v>486</v>
      </c>
      <c r="G5" s="13">
        <f t="shared" si="0"/>
        <v>739</v>
      </c>
      <c r="H5" s="14">
        <f t="shared" ref="H5:H9" si="1">(G5-C5)/C5</f>
        <v>-0.0238</v>
      </c>
      <c r="I5" s="13">
        <f>SUM(I6:I9)</f>
        <v>731</v>
      </c>
      <c r="J5" s="14">
        <f t="shared" ref="J5:J9" si="2">(I5-D5)/D5</f>
        <v>0</v>
      </c>
      <c r="K5" s="25" t="s">
        <v>4325</v>
      </c>
      <c r="L5" s="3"/>
      <c r="M5" s="3"/>
      <c r="N5" s="651" t="s">
        <v>4326</v>
      </c>
      <c r="O5" s="3">
        <v>2710100</v>
      </c>
    </row>
    <row r="6" s="2" customFormat="1" ht="44.25" customHeight="1" spans="1:15">
      <c r="A6" s="10">
        <v>1</v>
      </c>
      <c r="B6" s="652" t="s">
        <v>1042</v>
      </c>
      <c r="C6" s="16"/>
      <c r="D6" s="16"/>
      <c r="E6" s="16"/>
      <c r="F6" s="16"/>
      <c r="G6" s="16"/>
      <c r="H6" s="17"/>
      <c r="I6" s="16"/>
      <c r="J6" s="17"/>
      <c r="K6" s="25" t="s">
        <v>4327</v>
      </c>
      <c r="L6" s="2"/>
      <c r="M6" s="2"/>
      <c r="N6" s="2" t="s">
        <v>4328</v>
      </c>
      <c r="O6" s="2">
        <v>182700</v>
      </c>
    </row>
    <row r="7" s="2" customFormat="1" ht="40.5" customHeight="1" spans="1:15">
      <c r="A7" s="10">
        <v>2</v>
      </c>
      <c r="B7" s="15" t="s">
        <v>1043</v>
      </c>
      <c r="C7" s="16">
        <v>231</v>
      </c>
      <c r="D7" s="16">
        <v>218</v>
      </c>
      <c r="E7" s="16">
        <v>97</v>
      </c>
      <c r="F7" s="16">
        <v>97</v>
      </c>
      <c r="G7" s="16">
        <v>226</v>
      </c>
      <c r="H7" s="14">
        <f t="shared" si="1"/>
        <v>-0.0216</v>
      </c>
      <c r="I7" s="16">
        <v>218</v>
      </c>
      <c r="J7" s="14">
        <f t="shared" si="2"/>
        <v>0</v>
      </c>
      <c r="K7" s="25"/>
      <c r="L7" s="2"/>
      <c r="M7" s="26"/>
      <c r="N7" s="2" t="s">
        <v>4329</v>
      </c>
      <c r="O7" s="2">
        <v>542780</v>
      </c>
    </row>
    <row r="8" s="2" customFormat="1" ht="40.5" customHeight="1" spans="1:15">
      <c r="A8" s="10">
        <v>3</v>
      </c>
      <c r="B8" s="652" t="s">
        <v>1045</v>
      </c>
      <c r="C8" s="16"/>
      <c r="D8" s="16"/>
      <c r="E8" s="16">
        <v>12</v>
      </c>
      <c r="F8" s="16">
        <v>12</v>
      </c>
      <c r="G8" s="16"/>
      <c r="H8" s="14"/>
      <c r="I8" s="16"/>
      <c r="J8" s="14"/>
      <c r="K8" s="25" t="s">
        <v>4330</v>
      </c>
      <c r="L8" s="2"/>
      <c r="M8" s="2"/>
      <c r="N8" s="653" t="s">
        <v>4331</v>
      </c>
      <c r="O8" s="2">
        <v>101500</v>
      </c>
    </row>
    <row r="9" s="2" customFormat="1" ht="40.5" customHeight="1" spans="1:15">
      <c r="A9" s="10">
        <v>4</v>
      </c>
      <c r="B9" s="15" t="s">
        <v>1046</v>
      </c>
      <c r="C9" s="16">
        <v>526</v>
      </c>
      <c r="D9" s="16">
        <v>513</v>
      </c>
      <c r="E9" s="16">
        <v>377</v>
      </c>
      <c r="F9" s="16">
        <v>377</v>
      </c>
      <c r="G9" s="16">
        <v>513</v>
      </c>
      <c r="H9" s="14">
        <f t="shared" si="1"/>
        <v>-0.0247</v>
      </c>
      <c r="I9" s="16">
        <v>513</v>
      </c>
      <c r="J9" s="14">
        <f t="shared" si="2"/>
        <v>0</v>
      </c>
      <c r="K9" s="25"/>
      <c r="L9" s="2"/>
      <c r="M9" s="2"/>
      <c r="O9" s="2">
        <f>SUM(O5:O8)</f>
        <v>3537080</v>
      </c>
    </row>
    <row r="10" s="2" customFormat="1" ht="22.5" customHeight="1" spans="1:11">
      <c r="A10" s="18"/>
      <c r="B10" s="19"/>
      <c r="C10" s="19"/>
      <c r="D10" s="19"/>
      <c r="E10" s="20"/>
      <c r="F10" s="18"/>
      <c r="G10" s="18"/>
      <c r="H10" s="18"/>
      <c r="I10" s="28"/>
      <c r="J10" s="20"/>
      <c r="K10" s="18"/>
    </row>
    <row r="11" ht="13.35" customHeight="1"/>
    <row r="12" ht="13.3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sheetData>
  <mergeCells count="8">
    <mergeCell ref="A1:K1"/>
    <mergeCell ref="A2:B2"/>
    <mergeCell ref="C3:D3"/>
    <mergeCell ref="E3:F3"/>
    <mergeCell ref="G3:J3"/>
    <mergeCell ref="A3:A4"/>
    <mergeCell ref="B3:B4"/>
    <mergeCell ref="K3:K4"/>
  </mergeCells>
  <printOptions horizontalCentered="1" verticalCentered="1"/>
  <pageMargins left="0.708661417322835" right="0.708661417322835" top="0.748031496062992" bottom="0.748031496062992" header="0.31496062992126" footer="0.31496062992126"/>
  <pageSetup paperSize="9" scale="8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showZeros="0" zoomScaleSheetLayoutView="60" workbookViewId="0">
      <pane xSplit="1" ySplit="3" topLeftCell="B132" activePane="bottomRight" state="frozen"/>
      <selection/>
      <selection pane="topRight"/>
      <selection pane="bottomLeft"/>
      <selection pane="bottomRight" activeCell="H135" sqref="H135"/>
    </sheetView>
  </sheetViews>
  <sheetFormatPr defaultColWidth="9" defaultRowHeight="15"/>
  <cols>
    <col min="1" max="1" width="30.875" style="125" customWidth="1"/>
    <col min="2" max="2" width="11.25" style="125" customWidth="1"/>
    <col min="3" max="3" width="10.75" style="125" customWidth="1"/>
    <col min="4" max="4" width="10.5" style="125" customWidth="1"/>
    <col min="5" max="5" width="10.625" style="125" customWidth="1"/>
    <col min="6" max="7" width="10.375" style="125" customWidth="1"/>
    <col min="8" max="8" width="10.625" style="125" customWidth="1"/>
    <col min="9" max="16384" width="9" style="125"/>
  </cols>
  <sheetData>
    <row r="1" s="129" customFormat="1" ht="21" spans="1:7">
      <c r="A1" s="599" t="s">
        <v>216</v>
      </c>
      <c r="B1" s="105"/>
      <c r="C1" s="105"/>
      <c r="D1" s="105"/>
      <c r="E1" s="105"/>
      <c r="F1" s="105"/>
      <c r="G1" s="105"/>
    </row>
    <row r="2" s="125" customFormat="1" ht="20.25" customHeight="1" spans="6:6">
      <c r="F2" s="530" t="s">
        <v>51</v>
      </c>
    </row>
    <row r="3" s="92" customFormat="1" ht="36" customHeight="1" spans="1:7">
      <c r="A3" s="39" t="s">
        <v>52</v>
      </c>
      <c r="B3" s="600" t="s">
        <v>53</v>
      </c>
      <c r="C3" s="600" t="s">
        <v>217</v>
      </c>
      <c r="D3" s="600" t="s">
        <v>218</v>
      </c>
      <c r="E3" s="600" t="s">
        <v>219</v>
      </c>
      <c r="F3" s="135" t="s">
        <v>57</v>
      </c>
      <c r="G3" s="600" t="s">
        <v>220</v>
      </c>
    </row>
    <row r="4" s="360" customFormat="1" ht="20.1" customHeight="1" spans="1:7">
      <c r="A4" s="531" t="s">
        <v>221</v>
      </c>
      <c r="B4" s="443">
        <f>SUM(B5:B33)</f>
        <v>31974</v>
      </c>
      <c r="C4" s="443">
        <f>SUM(C5:C33)</f>
        <v>21927</v>
      </c>
      <c r="D4" s="443">
        <f>SUM(D5:D33)</f>
        <v>19869</v>
      </c>
      <c r="E4" s="443">
        <f>SUM(E5:E33)</f>
        <v>20055</v>
      </c>
      <c r="F4" s="532">
        <f t="shared" ref="F4:F67" si="0">IF(B4=0,,SUM(E4-B4)/B4*100)</f>
        <v>-37.28</v>
      </c>
      <c r="G4" s="532">
        <f t="shared" ref="G4:G18" si="1">E4/D4*100</f>
        <v>100.94</v>
      </c>
    </row>
    <row r="5" s="360" customFormat="1" ht="20.1" customHeight="1" spans="1:7">
      <c r="A5" s="533" t="s">
        <v>222</v>
      </c>
      <c r="B5" s="100">
        <v>976</v>
      </c>
      <c r="C5" s="510">
        <v>1186</v>
      </c>
      <c r="D5" s="236">
        <v>815</v>
      </c>
      <c r="E5" s="100">
        <v>640</v>
      </c>
      <c r="F5" s="534">
        <f t="shared" si="0"/>
        <v>-34.43</v>
      </c>
      <c r="G5" s="534">
        <f t="shared" si="1"/>
        <v>78.53</v>
      </c>
    </row>
    <row r="6" s="360" customFormat="1" ht="20.1" customHeight="1" spans="1:7">
      <c r="A6" s="533" t="s">
        <v>223</v>
      </c>
      <c r="B6" s="100">
        <v>470</v>
      </c>
      <c r="C6" s="510">
        <v>360</v>
      </c>
      <c r="D6" s="236">
        <v>349</v>
      </c>
      <c r="E6" s="100">
        <v>290</v>
      </c>
      <c r="F6" s="534">
        <f t="shared" si="0"/>
        <v>-38.3</v>
      </c>
      <c r="G6" s="534">
        <f t="shared" si="1"/>
        <v>83.09</v>
      </c>
    </row>
    <row r="7" s="360" customFormat="1" ht="20.1" customHeight="1" spans="1:7">
      <c r="A7" s="533" t="s">
        <v>224</v>
      </c>
      <c r="B7" s="100">
        <v>10894</v>
      </c>
      <c r="C7" s="510">
        <v>8098</v>
      </c>
      <c r="D7" s="236">
        <v>7144</v>
      </c>
      <c r="E7" s="100">
        <v>7979</v>
      </c>
      <c r="F7" s="534">
        <f t="shared" si="0"/>
        <v>-26.76</v>
      </c>
      <c r="G7" s="534">
        <f t="shared" si="1"/>
        <v>111.69</v>
      </c>
    </row>
    <row r="8" s="360" customFormat="1" ht="20.1" customHeight="1" spans="1:7">
      <c r="A8" s="533" t="s">
        <v>225</v>
      </c>
      <c r="B8" s="100">
        <v>705</v>
      </c>
      <c r="C8" s="510">
        <v>463</v>
      </c>
      <c r="D8" s="236">
        <v>383</v>
      </c>
      <c r="E8" s="100">
        <v>375</v>
      </c>
      <c r="F8" s="534">
        <f t="shared" si="0"/>
        <v>-46.81</v>
      </c>
      <c r="G8" s="534">
        <f t="shared" si="1"/>
        <v>97.91</v>
      </c>
    </row>
    <row r="9" s="360" customFormat="1" ht="20.1" customHeight="1" spans="1:7">
      <c r="A9" s="535" t="s">
        <v>226</v>
      </c>
      <c r="B9" s="100">
        <v>497</v>
      </c>
      <c r="C9" s="510">
        <v>396</v>
      </c>
      <c r="D9" s="236">
        <v>397</v>
      </c>
      <c r="E9" s="100">
        <v>385</v>
      </c>
      <c r="F9" s="534">
        <f t="shared" si="0"/>
        <v>-22.54</v>
      </c>
      <c r="G9" s="534">
        <f t="shared" si="1"/>
        <v>96.98</v>
      </c>
    </row>
    <row r="10" s="360" customFormat="1" ht="20.1" customHeight="1" spans="1:7">
      <c r="A10" s="533" t="s">
        <v>227</v>
      </c>
      <c r="B10" s="100">
        <v>2102</v>
      </c>
      <c r="C10" s="510">
        <v>1419</v>
      </c>
      <c r="D10" s="236">
        <v>1419</v>
      </c>
      <c r="E10" s="100">
        <v>1260</v>
      </c>
      <c r="F10" s="534">
        <f t="shared" si="0"/>
        <v>-40.06</v>
      </c>
      <c r="G10" s="534">
        <f t="shared" si="1"/>
        <v>88.79</v>
      </c>
    </row>
    <row r="11" s="360" customFormat="1" ht="20.1" customHeight="1" spans="1:7">
      <c r="A11" s="533" t="s">
        <v>228</v>
      </c>
      <c r="B11" s="100">
        <v>520</v>
      </c>
      <c r="C11" s="510">
        <v>237</v>
      </c>
      <c r="D11" s="236">
        <v>467</v>
      </c>
      <c r="E11" s="100">
        <v>668</v>
      </c>
      <c r="F11" s="534">
        <f t="shared" si="0"/>
        <v>28.46</v>
      </c>
      <c r="G11" s="534">
        <f t="shared" si="1"/>
        <v>143.04</v>
      </c>
    </row>
    <row r="12" s="360" customFormat="1" ht="20.1" customHeight="1" spans="1:7">
      <c r="A12" s="535" t="s">
        <v>229</v>
      </c>
      <c r="B12" s="100">
        <v>236</v>
      </c>
      <c r="C12" s="510">
        <v>201</v>
      </c>
      <c r="D12" s="236">
        <v>203</v>
      </c>
      <c r="E12" s="100">
        <v>216</v>
      </c>
      <c r="F12" s="534">
        <f t="shared" si="0"/>
        <v>-8.47</v>
      </c>
      <c r="G12" s="534">
        <f t="shared" si="1"/>
        <v>106.4</v>
      </c>
    </row>
    <row r="13" s="360" customFormat="1" ht="20.1" customHeight="1" spans="1:7">
      <c r="A13" s="533" t="s">
        <v>230</v>
      </c>
      <c r="B13" s="100"/>
      <c r="C13" s="510">
        <v>0</v>
      </c>
      <c r="D13" s="236">
        <v>0</v>
      </c>
      <c r="E13" s="100"/>
      <c r="F13" s="534">
        <f t="shared" si="0"/>
        <v>0</v>
      </c>
      <c r="G13" s="534"/>
    </row>
    <row r="14" s="360" customFormat="1" ht="20.1" customHeight="1" spans="1:7">
      <c r="A14" s="535" t="s">
        <v>231</v>
      </c>
      <c r="B14" s="100"/>
      <c r="C14" s="510"/>
      <c r="D14" s="236">
        <v>0</v>
      </c>
      <c r="E14" s="100"/>
      <c r="F14" s="534">
        <f t="shared" si="0"/>
        <v>0</v>
      </c>
      <c r="G14" s="534"/>
    </row>
    <row r="15" s="360" customFormat="1" ht="20.1" customHeight="1" spans="1:7">
      <c r="A15" s="510" t="s">
        <v>232</v>
      </c>
      <c r="B15" s="100">
        <v>1840</v>
      </c>
      <c r="C15" s="510">
        <v>1443</v>
      </c>
      <c r="D15" s="236">
        <v>1474</v>
      </c>
      <c r="E15" s="100">
        <v>1513</v>
      </c>
      <c r="F15" s="534">
        <f t="shared" si="0"/>
        <v>-17.77</v>
      </c>
      <c r="G15" s="534">
        <f t="shared" si="1"/>
        <v>102.65</v>
      </c>
    </row>
    <row r="16" s="360" customFormat="1" ht="20.1" customHeight="1" spans="1:7">
      <c r="A16" s="510" t="s">
        <v>233</v>
      </c>
      <c r="B16" s="100">
        <v>153</v>
      </c>
      <c r="C16" s="510">
        <v>90</v>
      </c>
      <c r="D16" s="236">
        <v>92</v>
      </c>
      <c r="E16" s="100">
        <v>117</v>
      </c>
      <c r="F16" s="534">
        <f t="shared" si="0"/>
        <v>-23.53</v>
      </c>
      <c r="G16" s="534">
        <f t="shared" si="1"/>
        <v>127.17</v>
      </c>
    </row>
    <row r="17" s="360" customFormat="1" ht="20.1" customHeight="1" spans="1:7">
      <c r="A17" s="535" t="s">
        <v>234</v>
      </c>
      <c r="B17" s="100"/>
      <c r="C17" s="510">
        <v>0</v>
      </c>
      <c r="D17" s="236">
        <v>0</v>
      </c>
      <c r="E17" s="100"/>
      <c r="F17" s="534">
        <f t="shared" si="0"/>
        <v>0</v>
      </c>
      <c r="G17" s="534"/>
    </row>
    <row r="18" s="360" customFormat="1" ht="20.1" customHeight="1" spans="1:7">
      <c r="A18" s="535" t="s">
        <v>235</v>
      </c>
      <c r="B18" s="100">
        <v>21</v>
      </c>
      <c r="C18" s="510">
        <v>226</v>
      </c>
      <c r="D18" s="236">
        <v>226</v>
      </c>
      <c r="E18" s="100">
        <v>127</v>
      </c>
      <c r="F18" s="534">
        <f t="shared" si="0"/>
        <v>504.76</v>
      </c>
      <c r="G18" s="534">
        <f t="shared" si="1"/>
        <v>56.19</v>
      </c>
    </row>
    <row r="19" s="360" customFormat="1" ht="20.1" customHeight="1" spans="1:7">
      <c r="A19" s="533" t="s">
        <v>236</v>
      </c>
      <c r="B19" s="100"/>
      <c r="C19" s="510">
        <v>0</v>
      </c>
      <c r="D19" s="236">
        <v>0</v>
      </c>
      <c r="E19" s="100"/>
      <c r="F19" s="534">
        <f t="shared" si="0"/>
        <v>0</v>
      </c>
      <c r="G19" s="534"/>
    </row>
    <row r="20" s="360" customFormat="1" ht="20.1" customHeight="1" spans="1:7">
      <c r="A20" s="533" t="s">
        <v>237</v>
      </c>
      <c r="B20" s="100">
        <v>98</v>
      </c>
      <c r="C20" s="510">
        <v>108</v>
      </c>
      <c r="D20" s="236">
        <v>108</v>
      </c>
      <c r="E20" s="100">
        <v>90</v>
      </c>
      <c r="F20" s="534">
        <f t="shared" si="0"/>
        <v>-8.16</v>
      </c>
      <c r="G20" s="534"/>
    </row>
    <row r="21" s="360" customFormat="1" ht="20.1" customHeight="1" spans="1:7">
      <c r="A21" s="533" t="s">
        <v>238</v>
      </c>
      <c r="B21" s="100">
        <v>57</v>
      </c>
      <c r="C21" s="510">
        <v>42</v>
      </c>
      <c r="D21" s="236">
        <v>42</v>
      </c>
      <c r="E21" s="100">
        <v>43</v>
      </c>
      <c r="F21" s="534">
        <f t="shared" si="0"/>
        <v>-24.56</v>
      </c>
      <c r="G21" s="534">
        <f t="shared" ref="G21:G24" si="2">E21/D21*100</f>
        <v>102.38</v>
      </c>
    </row>
    <row r="22" s="360" customFormat="1" ht="20.1" customHeight="1" spans="1:7">
      <c r="A22" s="533" t="s">
        <v>239</v>
      </c>
      <c r="B22" s="100">
        <v>575</v>
      </c>
      <c r="C22" s="510">
        <v>467</v>
      </c>
      <c r="D22" s="236">
        <v>610</v>
      </c>
      <c r="E22" s="100">
        <v>668</v>
      </c>
      <c r="F22" s="534">
        <f t="shared" si="0"/>
        <v>16.17</v>
      </c>
      <c r="G22" s="534">
        <f t="shared" si="2"/>
        <v>109.51</v>
      </c>
    </row>
    <row r="23" s="360" customFormat="1" ht="20.1" customHeight="1" spans="1:7">
      <c r="A23" s="535" t="s">
        <v>240</v>
      </c>
      <c r="B23" s="100">
        <v>670</v>
      </c>
      <c r="C23" s="510">
        <v>539</v>
      </c>
      <c r="D23" s="236">
        <v>523</v>
      </c>
      <c r="E23" s="100">
        <v>564</v>
      </c>
      <c r="F23" s="534">
        <f t="shared" si="0"/>
        <v>-15.82</v>
      </c>
      <c r="G23" s="534"/>
    </row>
    <row r="24" s="360" customFormat="1" ht="20.1" customHeight="1" spans="1:7">
      <c r="A24" s="535" t="s">
        <v>241</v>
      </c>
      <c r="B24" s="100">
        <v>1201</v>
      </c>
      <c r="C24" s="510">
        <v>2235</v>
      </c>
      <c r="D24" s="236">
        <v>1312</v>
      </c>
      <c r="E24" s="100">
        <v>954</v>
      </c>
      <c r="F24" s="534">
        <f t="shared" si="0"/>
        <v>-20.57</v>
      </c>
      <c r="G24" s="534">
        <f t="shared" si="2"/>
        <v>72.71</v>
      </c>
    </row>
    <row r="25" s="360" customFormat="1" ht="20.1" customHeight="1" spans="1:7">
      <c r="A25" s="535" t="s">
        <v>242</v>
      </c>
      <c r="B25" s="100">
        <v>253</v>
      </c>
      <c r="C25" s="510">
        <v>187</v>
      </c>
      <c r="D25" s="236">
        <v>187</v>
      </c>
      <c r="E25" s="100">
        <v>195</v>
      </c>
      <c r="F25" s="534">
        <f t="shared" si="0"/>
        <v>-22.92</v>
      </c>
      <c r="G25" s="534"/>
    </row>
    <row r="26" s="360" customFormat="1" ht="20.1" customHeight="1" spans="1:7">
      <c r="A26" s="535" t="s">
        <v>243</v>
      </c>
      <c r="B26" s="100">
        <v>330</v>
      </c>
      <c r="C26" s="238">
        <v>586</v>
      </c>
      <c r="D26" s="238">
        <v>557</v>
      </c>
      <c r="E26" s="100">
        <v>256</v>
      </c>
      <c r="F26" s="534">
        <f t="shared" si="0"/>
        <v>-22.42</v>
      </c>
      <c r="G26" s="534">
        <f t="shared" ref="G26:G32" si="3">E26/D26*100</f>
        <v>45.96</v>
      </c>
    </row>
    <row r="27" s="360" customFormat="1" ht="20.1" customHeight="1" spans="1:7">
      <c r="A27" s="535" t="s">
        <v>244</v>
      </c>
      <c r="B27" s="100"/>
      <c r="C27" s="536"/>
      <c r="D27" s="238">
        <v>0</v>
      </c>
      <c r="E27" s="100"/>
      <c r="F27" s="534">
        <f t="shared" si="0"/>
        <v>0</v>
      </c>
      <c r="G27" s="534"/>
    </row>
    <row r="28" s="360" customFormat="1" ht="20.1" customHeight="1" spans="1:7">
      <c r="A28" s="535" t="s">
        <v>245</v>
      </c>
      <c r="B28" s="100">
        <v>722</v>
      </c>
      <c r="C28" s="238">
        <v>421</v>
      </c>
      <c r="D28" s="238">
        <v>421</v>
      </c>
      <c r="E28" s="100">
        <v>427</v>
      </c>
      <c r="F28" s="534">
        <f t="shared" si="0"/>
        <v>-40.86</v>
      </c>
      <c r="G28" s="534">
        <f t="shared" si="3"/>
        <v>101.43</v>
      </c>
    </row>
    <row r="29" s="360" customFormat="1" ht="20.1" customHeight="1" spans="1:7">
      <c r="A29" s="535" t="s">
        <v>246</v>
      </c>
      <c r="B29" s="100"/>
      <c r="C29" s="510"/>
      <c r="D29" s="236">
        <v>0</v>
      </c>
      <c r="E29" s="100"/>
      <c r="F29" s="534">
        <f t="shared" si="0"/>
        <v>0</v>
      </c>
      <c r="G29" s="534"/>
    </row>
    <row r="30" s="360" customFormat="1" ht="20.1" customHeight="1" spans="1:7">
      <c r="A30" s="535" t="s">
        <v>247</v>
      </c>
      <c r="B30" s="100">
        <v>1943</v>
      </c>
      <c r="C30" s="510">
        <v>1668</v>
      </c>
      <c r="D30" s="236">
        <v>1637</v>
      </c>
      <c r="E30" s="100">
        <v>1544</v>
      </c>
      <c r="F30" s="534">
        <f t="shared" si="0"/>
        <v>-20.54</v>
      </c>
      <c r="G30" s="534">
        <f t="shared" si="3"/>
        <v>94.32</v>
      </c>
    </row>
    <row r="31" s="360" customFormat="1" ht="20.1" customHeight="1" spans="1:7">
      <c r="A31" s="535" t="s">
        <v>248</v>
      </c>
      <c r="B31" s="100"/>
      <c r="C31" s="510"/>
      <c r="D31" s="236">
        <v>25</v>
      </c>
      <c r="E31" s="100">
        <v>24</v>
      </c>
      <c r="F31" s="534">
        <f t="shared" si="0"/>
        <v>0</v>
      </c>
      <c r="G31" s="534">
        <f t="shared" si="3"/>
        <v>96</v>
      </c>
    </row>
    <row r="32" s="360" customFormat="1" ht="20.1" customHeight="1" spans="1:7">
      <c r="A32" s="535" t="s">
        <v>249</v>
      </c>
      <c r="B32" s="100"/>
      <c r="C32" s="510">
        <v>147</v>
      </c>
      <c r="D32" s="236">
        <v>147</v>
      </c>
      <c r="E32" s="100">
        <v>151</v>
      </c>
      <c r="F32" s="534">
        <f t="shared" si="0"/>
        <v>0</v>
      </c>
      <c r="G32" s="534">
        <f t="shared" si="3"/>
        <v>102.72</v>
      </c>
    </row>
    <row r="33" s="360" customFormat="1" ht="20.1" customHeight="1" spans="1:7">
      <c r="A33" s="535" t="s">
        <v>250</v>
      </c>
      <c r="B33" s="100">
        <v>7711</v>
      </c>
      <c r="C33" s="510">
        <v>1408</v>
      </c>
      <c r="D33" s="236">
        <v>1331</v>
      </c>
      <c r="E33" s="100">
        <v>1569</v>
      </c>
      <c r="F33" s="534">
        <f t="shared" si="0"/>
        <v>-79.65</v>
      </c>
      <c r="G33" s="534"/>
    </row>
    <row r="34" s="527" customFormat="1" ht="20" customHeight="1" spans="1:7">
      <c r="A34" s="531" t="s">
        <v>251</v>
      </c>
      <c r="B34" s="531">
        <f>SUM(B35:B36)</f>
        <v>0</v>
      </c>
      <c r="C34" s="531">
        <f>SUM(C35:C36)</f>
        <v>0</v>
      </c>
      <c r="D34" s="531">
        <f>SUM(D35:D36)</f>
        <v>0</v>
      </c>
      <c r="E34" s="531">
        <f>SUM(E35:E36)</f>
        <v>0</v>
      </c>
      <c r="F34" s="532">
        <f t="shared" si="0"/>
        <v>0</v>
      </c>
      <c r="G34" s="532"/>
    </row>
    <row r="35" s="360" customFormat="1" ht="20" customHeight="1" spans="1:7">
      <c r="A35" s="533" t="s">
        <v>252</v>
      </c>
      <c r="B35" s="510">
        <v>0</v>
      </c>
      <c r="C35" s="510">
        <v>0</v>
      </c>
      <c r="D35" s="236">
        <v>0</v>
      </c>
      <c r="E35" s="100">
        <v>0</v>
      </c>
      <c r="F35" s="534">
        <f t="shared" si="0"/>
        <v>0</v>
      </c>
      <c r="G35" s="534"/>
    </row>
    <row r="36" s="360" customFormat="1" ht="20" customHeight="1" spans="1:7">
      <c r="A36" s="533" t="s">
        <v>253</v>
      </c>
      <c r="B36" s="510">
        <v>0</v>
      </c>
      <c r="C36" s="510">
        <v>0</v>
      </c>
      <c r="D36" s="236">
        <v>0</v>
      </c>
      <c r="E36" s="100">
        <v>0</v>
      </c>
      <c r="F36" s="534">
        <f t="shared" si="0"/>
        <v>0</v>
      </c>
      <c r="G36" s="534"/>
    </row>
    <row r="37" s="527" customFormat="1" ht="20.1" customHeight="1" spans="1:7">
      <c r="A37" s="531" t="s">
        <v>254</v>
      </c>
      <c r="B37" s="531">
        <f>SUM(B38:B39)</f>
        <v>103</v>
      </c>
      <c r="C37" s="531">
        <f>SUM(C38:C39)</f>
        <v>26</v>
      </c>
      <c r="D37" s="531">
        <f>SUM(D38:D39)</f>
        <v>309</v>
      </c>
      <c r="E37" s="531">
        <f>SUM(E38:E39)</f>
        <v>327</v>
      </c>
      <c r="F37" s="532">
        <f t="shared" si="0"/>
        <v>217.48</v>
      </c>
      <c r="G37" s="532">
        <f t="shared" ref="G37:G46" si="4">E37/D37*100</f>
        <v>105.83</v>
      </c>
    </row>
    <row r="38" s="360" customFormat="1" ht="20.1" customHeight="1" spans="1:7">
      <c r="A38" s="535" t="s">
        <v>255</v>
      </c>
      <c r="B38" s="510">
        <v>103</v>
      </c>
      <c r="C38" s="510">
        <v>26</v>
      </c>
      <c r="D38" s="236">
        <v>307</v>
      </c>
      <c r="E38" s="100">
        <v>308</v>
      </c>
      <c r="F38" s="534">
        <f t="shared" si="0"/>
        <v>199.03</v>
      </c>
      <c r="G38" s="534">
        <f t="shared" si="4"/>
        <v>100.33</v>
      </c>
    </row>
    <row r="39" s="360" customFormat="1" ht="20.1" customHeight="1" spans="1:7">
      <c r="A39" s="535" t="s">
        <v>256</v>
      </c>
      <c r="B39" s="510">
        <v>0</v>
      </c>
      <c r="C39" s="510"/>
      <c r="D39" s="236">
        <v>2</v>
      </c>
      <c r="E39" s="100">
        <v>19</v>
      </c>
      <c r="F39" s="534">
        <f t="shared" si="0"/>
        <v>0</v>
      </c>
      <c r="G39" s="534"/>
    </row>
    <row r="40" s="527" customFormat="1" ht="20.1" customHeight="1" spans="1:7">
      <c r="A40" s="531" t="s">
        <v>257</v>
      </c>
      <c r="B40" s="443">
        <f>SUM(B41:B51)</f>
        <v>9372</v>
      </c>
      <c r="C40" s="443">
        <f>SUM(C41:C51)</f>
        <v>9792</v>
      </c>
      <c r="D40" s="443">
        <f>SUM(D41:D51)</f>
        <v>8162</v>
      </c>
      <c r="E40" s="443">
        <f>SUM(E41:E51)</f>
        <v>9721</v>
      </c>
      <c r="F40" s="532">
        <f t="shared" si="0"/>
        <v>3.72</v>
      </c>
      <c r="G40" s="532">
        <f t="shared" si="4"/>
        <v>119.1</v>
      </c>
    </row>
    <row r="41" s="360" customFormat="1" ht="20.1" customHeight="1" spans="1:7">
      <c r="A41" s="533" t="s">
        <v>258</v>
      </c>
      <c r="B41" s="100">
        <v>41</v>
      </c>
      <c r="C41" s="510">
        <v>14</v>
      </c>
      <c r="D41" s="236">
        <v>14</v>
      </c>
      <c r="E41" s="100">
        <v>38</v>
      </c>
      <c r="F41" s="534">
        <f t="shared" si="0"/>
        <v>-7.32</v>
      </c>
      <c r="G41" s="534">
        <f t="shared" si="4"/>
        <v>271.43</v>
      </c>
    </row>
    <row r="42" s="360" customFormat="1" ht="20.1" customHeight="1" spans="1:7">
      <c r="A42" s="535" t="s">
        <v>259</v>
      </c>
      <c r="B42" s="100">
        <v>7928</v>
      </c>
      <c r="C42" s="510">
        <v>8827</v>
      </c>
      <c r="D42" s="236">
        <v>6878</v>
      </c>
      <c r="E42" s="100">
        <v>8344</v>
      </c>
      <c r="F42" s="534">
        <f t="shared" si="0"/>
        <v>5.25</v>
      </c>
      <c r="G42" s="534">
        <f t="shared" si="4"/>
        <v>121.31</v>
      </c>
    </row>
    <row r="43" s="360" customFormat="1" ht="20.1" customHeight="1" spans="1:7">
      <c r="A43" s="533" t="s">
        <v>260</v>
      </c>
      <c r="B43" s="100"/>
      <c r="C43" s="510">
        <v>1</v>
      </c>
      <c r="D43" s="236">
        <v>1</v>
      </c>
      <c r="E43" s="100"/>
      <c r="F43" s="534">
        <f t="shared" si="0"/>
        <v>0</v>
      </c>
      <c r="G43" s="534">
        <f t="shared" si="4"/>
        <v>0</v>
      </c>
    </row>
    <row r="44" s="360" customFormat="1" ht="20.1" customHeight="1" spans="1:7">
      <c r="A44" s="533" t="s">
        <v>261</v>
      </c>
      <c r="B44" s="100">
        <v>133</v>
      </c>
      <c r="C44" s="510"/>
      <c r="D44" s="236">
        <v>92</v>
      </c>
      <c r="E44" s="100">
        <v>135</v>
      </c>
      <c r="F44" s="534">
        <f t="shared" si="0"/>
        <v>1.5</v>
      </c>
      <c r="G44" s="534">
        <f t="shared" si="4"/>
        <v>146.74</v>
      </c>
    </row>
    <row r="45" s="360" customFormat="1" ht="20.1" customHeight="1" spans="1:7">
      <c r="A45" s="510" t="s">
        <v>262</v>
      </c>
      <c r="B45" s="100">
        <v>258</v>
      </c>
      <c r="C45" s="510"/>
      <c r="D45" s="236">
        <v>185</v>
      </c>
      <c r="E45" s="100">
        <v>271</v>
      </c>
      <c r="F45" s="534">
        <f t="shared" si="0"/>
        <v>5.04</v>
      </c>
      <c r="G45" s="534">
        <f t="shared" si="4"/>
        <v>146.49</v>
      </c>
    </row>
    <row r="46" s="360" customFormat="1" ht="20.1" customHeight="1" spans="1:7">
      <c r="A46" s="533" t="s">
        <v>263</v>
      </c>
      <c r="B46" s="100">
        <v>999</v>
      </c>
      <c r="C46" s="510">
        <v>950</v>
      </c>
      <c r="D46" s="236">
        <v>959</v>
      </c>
      <c r="E46" s="100">
        <v>878</v>
      </c>
      <c r="F46" s="534">
        <f t="shared" si="0"/>
        <v>-12.11</v>
      </c>
      <c r="G46" s="534">
        <f t="shared" si="4"/>
        <v>91.55</v>
      </c>
    </row>
    <row r="47" s="360" customFormat="1" ht="20.1" customHeight="1" spans="1:7">
      <c r="A47" s="533" t="s">
        <v>264</v>
      </c>
      <c r="B47" s="100"/>
      <c r="C47" s="510"/>
      <c r="D47" s="236">
        <v>0</v>
      </c>
      <c r="E47" s="100"/>
      <c r="F47" s="534">
        <f t="shared" si="0"/>
        <v>0</v>
      </c>
      <c r="G47" s="534"/>
    </row>
    <row r="48" s="360" customFormat="1" ht="20.1" customHeight="1" spans="1:7">
      <c r="A48" s="535" t="s">
        <v>265</v>
      </c>
      <c r="B48" s="100"/>
      <c r="C48" s="510"/>
      <c r="D48" s="236">
        <v>0</v>
      </c>
      <c r="E48" s="100"/>
      <c r="F48" s="534">
        <f t="shared" si="0"/>
        <v>0</v>
      </c>
      <c r="G48" s="534"/>
    </row>
    <row r="49" s="360" customFormat="1" ht="20.1" customHeight="1" spans="1:7">
      <c r="A49" s="510" t="s">
        <v>266</v>
      </c>
      <c r="B49" s="100"/>
      <c r="C49" s="510"/>
      <c r="D49" s="236">
        <v>33</v>
      </c>
      <c r="E49" s="100"/>
      <c r="F49" s="534">
        <f t="shared" si="0"/>
        <v>0</v>
      </c>
      <c r="G49" s="534"/>
    </row>
    <row r="50" s="360" customFormat="1" ht="20.1" customHeight="1" spans="1:7">
      <c r="A50" s="533" t="s">
        <v>267</v>
      </c>
      <c r="B50" s="100"/>
      <c r="C50" s="510"/>
      <c r="D50" s="236">
        <v>0</v>
      </c>
      <c r="E50" s="100"/>
      <c r="F50" s="534">
        <f t="shared" si="0"/>
        <v>0</v>
      </c>
      <c r="G50" s="534"/>
    </row>
    <row r="51" s="360" customFormat="1" ht="20.1" customHeight="1" spans="1:7">
      <c r="A51" s="535" t="s">
        <v>268</v>
      </c>
      <c r="B51" s="100">
        <v>13</v>
      </c>
      <c r="C51" s="510"/>
      <c r="D51" s="236">
        <v>0</v>
      </c>
      <c r="E51" s="100">
        <v>55</v>
      </c>
      <c r="F51" s="534">
        <f t="shared" si="0"/>
        <v>323.08</v>
      </c>
      <c r="G51" s="534"/>
    </row>
    <row r="52" s="527" customFormat="1" ht="20.1" customHeight="1" spans="1:7">
      <c r="A52" s="531" t="s">
        <v>269</v>
      </c>
      <c r="B52" s="443">
        <f>SUM(B53:B62)</f>
        <v>69286</v>
      </c>
      <c r="C52" s="443">
        <f>SUM(C53:C62)</f>
        <v>69233</v>
      </c>
      <c r="D52" s="443">
        <f>SUM(D53:D62)</f>
        <v>69420</v>
      </c>
      <c r="E52" s="443">
        <f>SUM(E53:E62)</f>
        <v>70306</v>
      </c>
      <c r="F52" s="532">
        <f t="shared" si="0"/>
        <v>1.47</v>
      </c>
      <c r="G52" s="532">
        <f t="shared" ref="G51:G54" si="5">E52/D52*100</f>
        <v>101.28</v>
      </c>
    </row>
    <row r="53" s="360" customFormat="1" ht="20.1" customHeight="1" spans="1:7">
      <c r="A53" s="535" t="s">
        <v>270</v>
      </c>
      <c r="B53" s="100">
        <v>246</v>
      </c>
      <c r="C53" s="510">
        <v>224</v>
      </c>
      <c r="D53" s="236">
        <v>224</v>
      </c>
      <c r="E53" s="100">
        <v>201</v>
      </c>
      <c r="F53" s="534">
        <f t="shared" si="0"/>
        <v>-18.29</v>
      </c>
      <c r="G53" s="534">
        <f t="shared" si="5"/>
        <v>89.73</v>
      </c>
    </row>
    <row r="54" s="360" customFormat="1" ht="20.1" customHeight="1" spans="1:7">
      <c r="A54" s="537" t="s">
        <v>271</v>
      </c>
      <c r="B54" s="100">
        <v>68115</v>
      </c>
      <c r="C54" s="511">
        <v>67306</v>
      </c>
      <c r="D54" s="538">
        <v>65468</v>
      </c>
      <c r="E54" s="100">
        <v>69469</v>
      </c>
      <c r="F54" s="534">
        <f t="shared" si="0"/>
        <v>1.99</v>
      </c>
      <c r="G54" s="534">
        <f t="shared" si="5"/>
        <v>106.11</v>
      </c>
    </row>
    <row r="55" s="528" customFormat="1" ht="20.1" customHeight="1" spans="1:7">
      <c r="A55" s="533" t="s">
        <v>272</v>
      </c>
      <c r="B55" s="100">
        <v>90</v>
      </c>
      <c r="C55" s="510">
        <v>210</v>
      </c>
      <c r="D55" s="236">
        <v>209</v>
      </c>
      <c r="E55" s="100">
        <v>11</v>
      </c>
      <c r="F55" s="534">
        <f t="shared" si="0"/>
        <v>-87.78</v>
      </c>
      <c r="G55" s="534"/>
    </row>
    <row r="56" s="360" customFormat="1" ht="20.1" customHeight="1" spans="1:7">
      <c r="A56" s="510" t="s">
        <v>273</v>
      </c>
      <c r="B56" s="100"/>
      <c r="C56" s="510"/>
      <c r="D56" s="236">
        <v>0</v>
      </c>
      <c r="E56" s="100"/>
      <c r="F56" s="534">
        <f t="shared" si="0"/>
        <v>0</v>
      </c>
      <c r="G56" s="534"/>
    </row>
    <row r="57" s="360" customFormat="1" ht="20.1" customHeight="1" spans="1:7">
      <c r="A57" s="535" t="s">
        <v>274</v>
      </c>
      <c r="B57" s="100"/>
      <c r="C57" s="510"/>
      <c r="D57" s="236">
        <v>0</v>
      </c>
      <c r="E57" s="100"/>
      <c r="F57" s="534">
        <f t="shared" si="0"/>
        <v>0</v>
      </c>
      <c r="G57" s="534"/>
    </row>
    <row r="58" s="360" customFormat="1" ht="20.1" customHeight="1" spans="1:7">
      <c r="A58" s="535" t="s">
        <v>275</v>
      </c>
      <c r="B58" s="100"/>
      <c r="C58" s="510"/>
      <c r="D58" s="236">
        <v>0</v>
      </c>
      <c r="E58" s="100"/>
      <c r="F58" s="534">
        <f t="shared" si="0"/>
        <v>0</v>
      </c>
      <c r="G58" s="534"/>
    </row>
    <row r="59" s="360" customFormat="1" ht="20.1" customHeight="1" spans="1:7">
      <c r="A59" s="533" t="s">
        <v>276</v>
      </c>
      <c r="B59" s="100">
        <v>359</v>
      </c>
      <c r="C59" s="510">
        <v>253</v>
      </c>
      <c r="D59" s="236">
        <v>278</v>
      </c>
      <c r="E59" s="100">
        <v>314</v>
      </c>
      <c r="F59" s="534">
        <f t="shared" si="0"/>
        <v>-12.53</v>
      </c>
      <c r="G59" s="534">
        <f t="shared" ref="G57:G61" si="6">E59/D59*100</f>
        <v>112.95</v>
      </c>
    </row>
    <row r="60" s="360" customFormat="1" ht="20.1" customHeight="1" spans="1:7">
      <c r="A60" s="535" t="s">
        <v>277</v>
      </c>
      <c r="B60" s="100">
        <v>321</v>
      </c>
      <c r="C60" s="510">
        <v>300</v>
      </c>
      <c r="D60" s="236">
        <v>300</v>
      </c>
      <c r="E60" s="100">
        <v>271</v>
      </c>
      <c r="F60" s="534">
        <f t="shared" si="0"/>
        <v>-15.58</v>
      </c>
      <c r="G60" s="534">
        <f t="shared" si="6"/>
        <v>90.33</v>
      </c>
    </row>
    <row r="61" s="360" customFormat="1" ht="20.1" customHeight="1" spans="1:7">
      <c r="A61" s="533" t="s">
        <v>278</v>
      </c>
      <c r="B61" s="100">
        <v>155</v>
      </c>
      <c r="C61" s="510">
        <v>940</v>
      </c>
      <c r="D61" s="236">
        <v>2941</v>
      </c>
      <c r="E61" s="100">
        <v>40</v>
      </c>
      <c r="F61" s="534">
        <f t="shared" si="0"/>
        <v>-74.19</v>
      </c>
      <c r="G61" s="534">
        <f t="shared" si="6"/>
        <v>1.36</v>
      </c>
    </row>
    <row r="62" s="360" customFormat="1" ht="20.1" customHeight="1" spans="1:7">
      <c r="A62" s="533" t="s">
        <v>279</v>
      </c>
      <c r="B62" s="100"/>
      <c r="C62" s="510"/>
      <c r="D62" s="236">
        <v>0</v>
      </c>
      <c r="E62" s="100"/>
      <c r="F62" s="534">
        <f t="shared" si="0"/>
        <v>0</v>
      </c>
      <c r="G62" s="534"/>
    </row>
    <row r="63" s="527" customFormat="1" ht="20.1" customHeight="1" spans="1:7">
      <c r="A63" s="531" t="s">
        <v>280</v>
      </c>
      <c r="B63" s="443">
        <f>SUM(B64:B73)</f>
        <v>1756</v>
      </c>
      <c r="C63" s="443">
        <f>SUM(C64:C73)</f>
        <v>2235</v>
      </c>
      <c r="D63" s="443">
        <f>SUM(D64:D73)</f>
        <v>2327</v>
      </c>
      <c r="E63" s="443">
        <f>SUM(E64:E73)</f>
        <v>1221</v>
      </c>
      <c r="F63" s="532">
        <f t="shared" si="0"/>
        <v>-30.47</v>
      </c>
      <c r="G63" s="532">
        <f t="shared" ref="G63:G67" si="7">E63/D63*100</f>
        <v>52.47</v>
      </c>
    </row>
    <row r="64" s="360" customFormat="1" ht="20.1" customHeight="1" spans="1:7">
      <c r="A64" s="535" t="s">
        <v>281</v>
      </c>
      <c r="B64" s="100">
        <v>396</v>
      </c>
      <c r="C64" s="510">
        <v>337</v>
      </c>
      <c r="D64" s="236">
        <v>332</v>
      </c>
      <c r="E64" s="100">
        <v>318</v>
      </c>
      <c r="F64" s="534">
        <f t="shared" si="0"/>
        <v>-19.7</v>
      </c>
      <c r="G64" s="534">
        <f t="shared" si="7"/>
        <v>95.78</v>
      </c>
    </row>
    <row r="65" s="360" customFormat="1" ht="20.1" customHeight="1" spans="1:7">
      <c r="A65" s="533" t="s">
        <v>282</v>
      </c>
      <c r="B65" s="100">
        <v>146</v>
      </c>
      <c r="C65" s="510">
        <v>196</v>
      </c>
      <c r="D65" s="236">
        <v>183</v>
      </c>
      <c r="E65" s="100">
        <v>200</v>
      </c>
      <c r="F65" s="534">
        <f t="shared" si="0"/>
        <v>36.99</v>
      </c>
      <c r="G65" s="534">
        <f t="shared" si="7"/>
        <v>109.29</v>
      </c>
    </row>
    <row r="66" s="360" customFormat="1" ht="20.1" customHeight="1" spans="1:7">
      <c r="A66" s="535" t="s">
        <v>283</v>
      </c>
      <c r="B66" s="100"/>
      <c r="C66" s="510"/>
      <c r="D66" s="236">
        <v>0</v>
      </c>
      <c r="E66" s="100"/>
      <c r="F66" s="534">
        <f t="shared" si="0"/>
        <v>0</v>
      </c>
      <c r="G66" s="534"/>
    </row>
    <row r="67" s="360" customFormat="1" ht="20.1" customHeight="1" spans="1:7">
      <c r="A67" s="535" t="s">
        <v>284</v>
      </c>
      <c r="B67" s="100">
        <v>1081</v>
      </c>
      <c r="C67" s="510">
        <v>1613</v>
      </c>
      <c r="D67" s="236">
        <v>1613</v>
      </c>
      <c r="E67" s="100">
        <v>505</v>
      </c>
      <c r="F67" s="534">
        <f t="shared" si="0"/>
        <v>-53.28</v>
      </c>
      <c r="G67" s="534">
        <f t="shared" si="7"/>
        <v>31.31</v>
      </c>
    </row>
    <row r="68" s="360" customFormat="1" ht="20.1" customHeight="1" spans="1:7">
      <c r="A68" s="535" t="s">
        <v>285</v>
      </c>
      <c r="B68" s="100"/>
      <c r="C68" s="510"/>
      <c r="D68" s="236">
        <v>0</v>
      </c>
      <c r="E68" s="100"/>
      <c r="F68" s="534">
        <f t="shared" ref="F68:F78" si="8">IF(B68=0,,SUM(E68-B68)/B68*100)</f>
        <v>0</v>
      </c>
      <c r="G68" s="534"/>
    </row>
    <row r="69" s="360" customFormat="1" ht="20.1" customHeight="1" spans="1:7">
      <c r="A69" s="535" t="s">
        <v>286</v>
      </c>
      <c r="B69" s="100"/>
      <c r="C69" s="510"/>
      <c r="D69" s="236">
        <v>0</v>
      </c>
      <c r="E69" s="100"/>
      <c r="F69" s="534">
        <f t="shared" si="8"/>
        <v>0</v>
      </c>
      <c r="G69" s="534"/>
    </row>
    <row r="70" s="360" customFormat="1" ht="20.1" customHeight="1" spans="1:7">
      <c r="A70" s="533" t="s">
        <v>287</v>
      </c>
      <c r="B70" s="100">
        <v>116</v>
      </c>
      <c r="C70" s="510">
        <v>87</v>
      </c>
      <c r="D70" s="236">
        <v>197</v>
      </c>
      <c r="E70" s="100">
        <v>198</v>
      </c>
      <c r="F70" s="534">
        <f t="shared" si="8"/>
        <v>70.69</v>
      </c>
      <c r="G70" s="534">
        <f t="shared" ref="G70:G79" si="9">E70/D70*100</f>
        <v>100.51</v>
      </c>
    </row>
    <row r="71" s="360" customFormat="1" ht="20.1" customHeight="1" spans="1:7">
      <c r="A71" s="533" t="s">
        <v>288</v>
      </c>
      <c r="B71" s="100"/>
      <c r="C71" s="510"/>
      <c r="D71" s="236">
        <v>0</v>
      </c>
      <c r="E71" s="100"/>
      <c r="F71" s="534">
        <f t="shared" si="8"/>
        <v>0</v>
      </c>
      <c r="G71" s="534"/>
    </row>
    <row r="72" s="360" customFormat="1" ht="20.1" customHeight="1" spans="1:7">
      <c r="A72" s="510" t="s">
        <v>289</v>
      </c>
      <c r="B72" s="100">
        <v>17</v>
      </c>
      <c r="C72" s="510"/>
      <c r="D72" s="236">
        <v>0</v>
      </c>
      <c r="E72" s="100"/>
      <c r="F72" s="534">
        <f t="shared" si="8"/>
        <v>-100</v>
      </c>
      <c r="G72" s="534"/>
    </row>
    <row r="73" s="360" customFormat="1" ht="20.1" customHeight="1" spans="1:7">
      <c r="A73" s="533" t="s">
        <v>290</v>
      </c>
      <c r="B73" s="100"/>
      <c r="C73" s="510">
        <v>2</v>
      </c>
      <c r="D73" s="236">
        <v>2</v>
      </c>
      <c r="E73" s="100"/>
      <c r="F73" s="534">
        <f t="shared" si="8"/>
        <v>0</v>
      </c>
      <c r="G73" s="534"/>
    </row>
    <row r="74" s="527" customFormat="1" ht="20.1" customHeight="1" spans="1:7">
      <c r="A74" s="531" t="s">
        <v>291</v>
      </c>
      <c r="B74" s="443">
        <f>SUM(B75:B80)</f>
        <v>2538</v>
      </c>
      <c r="C74" s="443">
        <f>SUM(C75:C80)</f>
        <v>5678</v>
      </c>
      <c r="D74" s="443">
        <f>SUM(D75:D80)</f>
        <v>2827</v>
      </c>
      <c r="E74" s="443">
        <f>SUM(E75:E80)</f>
        <v>2181</v>
      </c>
      <c r="F74" s="532">
        <f t="shared" si="8"/>
        <v>-14.07</v>
      </c>
      <c r="G74" s="532">
        <f t="shared" si="9"/>
        <v>77.15</v>
      </c>
    </row>
    <row r="75" s="360" customFormat="1" ht="20.1" customHeight="1" spans="1:7">
      <c r="A75" s="510" t="s">
        <v>292</v>
      </c>
      <c r="B75" s="100">
        <v>1885</v>
      </c>
      <c r="C75" s="510">
        <v>4874</v>
      </c>
      <c r="D75" s="236">
        <v>1978</v>
      </c>
      <c r="E75" s="100">
        <v>1670</v>
      </c>
      <c r="F75" s="534">
        <f t="shared" si="8"/>
        <v>-11.41</v>
      </c>
      <c r="G75" s="534">
        <f t="shared" si="9"/>
        <v>84.43</v>
      </c>
    </row>
    <row r="76" s="360" customFormat="1" ht="20.1" customHeight="1" spans="1:7">
      <c r="A76" s="510" t="s">
        <v>293</v>
      </c>
      <c r="B76" s="100">
        <v>152</v>
      </c>
      <c r="C76" s="510">
        <v>333</v>
      </c>
      <c r="D76" s="236">
        <v>378</v>
      </c>
      <c r="E76" s="100">
        <v>71</v>
      </c>
      <c r="F76" s="534">
        <f t="shared" si="8"/>
        <v>-53.29</v>
      </c>
      <c r="G76" s="534">
        <f t="shared" si="9"/>
        <v>18.78</v>
      </c>
    </row>
    <row r="77" s="360" customFormat="1" ht="20.1" customHeight="1" spans="1:7">
      <c r="A77" s="510" t="s">
        <v>294</v>
      </c>
      <c r="B77" s="100">
        <v>45</v>
      </c>
      <c r="C77" s="510">
        <v>16</v>
      </c>
      <c r="D77" s="236">
        <v>16</v>
      </c>
      <c r="E77" s="100">
        <v>23</v>
      </c>
      <c r="F77" s="534">
        <f t="shared" si="8"/>
        <v>-48.89</v>
      </c>
      <c r="G77" s="534">
        <f t="shared" si="9"/>
        <v>143.75</v>
      </c>
    </row>
    <row r="78" s="360" customFormat="1" ht="20.1" customHeight="1" spans="1:7">
      <c r="A78" s="601" t="s">
        <v>295</v>
      </c>
      <c r="B78" s="100">
        <v>43</v>
      </c>
      <c r="C78" s="510">
        <v>24</v>
      </c>
      <c r="D78" s="236">
        <v>24</v>
      </c>
      <c r="E78" s="100">
        <v>37</v>
      </c>
      <c r="F78" s="534">
        <f t="shared" si="8"/>
        <v>-13.95</v>
      </c>
      <c r="G78" s="534">
        <f t="shared" si="9"/>
        <v>154.17</v>
      </c>
    </row>
    <row r="79" s="360" customFormat="1" ht="20.1" customHeight="1" spans="1:7">
      <c r="A79" s="601" t="s">
        <v>296</v>
      </c>
      <c r="B79" s="100">
        <v>413</v>
      </c>
      <c r="C79" s="510">
        <v>427</v>
      </c>
      <c r="D79" s="236">
        <v>427</v>
      </c>
      <c r="E79" s="100">
        <v>380</v>
      </c>
      <c r="F79" s="534"/>
      <c r="G79" s="534">
        <f t="shared" si="9"/>
        <v>88.99</v>
      </c>
    </row>
    <row r="80" s="360" customFormat="1" ht="20.1" customHeight="1" spans="1:7">
      <c r="A80" s="510" t="s">
        <v>297</v>
      </c>
      <c r="B80" s="100"/>
      <c r="C80" s="510">
        <v>4</v>
      </c>
      <c r="D80" s="236">
        <v>4</v>
      </c>
      <c r="E80" s="100"/>
      <c r="F80" s="534">
        <f t="shared" ref="F80:F100" si="10">IF(B80=0,,SUM(E80-B80)/B80*100)</f>
        <v>0</v>
      </c>
      <c r="G80" s="534"/>
    </row>
    <row r="81" s="527" customFormat="1" ht="20.1" customHeight="1" spans="1:7">
      <c r="A81" s="531" t="s">
        <v>298</v>
      </c>
      <c r="B81" s="443">
        <f>SUM(B82:B102)</f>
        <v>60764</v>
      </c>
      <c r="C81" s="443">
        <f>SUM(C82:C102)</f>
        <v>59456</v>
      </c>
      <c r="D81" s="443">
        <f>SUM(D82:D102)</f>
        <v>57932</v>
      </c>
      <c r="E81" s="443">
        <f>SUM(E82:E102)</f>
        <v>59901</v>
      </c>
      <c r="F81" s="532">
        <f t="shared" si="10"/>
        <v>-1.42</v>
      </c>
      <c r="G81" s="532">
        <f t="shared" ref="G81:G83" si="11">E81/D81*100</f>
        <v>103.4</v>
      </c>
    </row>
    <row r="82" s="360" customFormat="1" ht="18.75" customHeight="1" spans="1:7">
      <c r="A82" s="510" t="s">
        <v>299</v>
      </c>
      <c r="B82" s="100">
        <v>3892</v>
      </c>
      <c r="C82" s="510">
        <v>4171</v>
      </c>
      <c r="D82" s="236">
        <v>3198</v>
      </c>
      <c r="E82" s="100">
        <v>3710</v>
      </c>
      <c r="F82" s="534">
        <f t="shared" si="10"/>
        <v>-4.68</v>
      </c>
      <c r="G82" s="534">
        <f t="shared" si="11"/>
        <v>116.01</v>
      </c>
    </row>
    <row r="83" s="360" customFormat="1" ht="18.75" customHeight="1" spans="1:7">
      <c r="A83" s="510" t="s">
        <v>300</v>
      </c>
      <c r="B83" s="100">
        <v>737</v>
      </c>
      <c r="C83" s="510">
        <v>596</v>
      </c>
      <c r="D83" s="236">
        <v>596</v>
      </c>
      <c r="E83" s="100">
        <v>592</v>
      </c>
      <c r="F83" s="534">
        <f t="shared" si="10"/>
        <v>-19.67</v>
      </c>
      <c r="G83" s="534">
        <f t="shared" si="11"/>
        <v>99.33</v>
      </c>
    </row>
    <row r="84" s="360" customFormat="1" ht="20.1" customHeight="1" spans="1:7">
      <c r="A84" s="601" t="s">
        <v>301</v>
      </c>
      <c r="B84" s="100"/>
      <c r="C84" s="510"/>
      <c r="D84" s="236">
        <v>0</v>
      </c>
      <c r="E84" s="100"/>
      <c r="F84" s="534">
        <f t="shared" si="10"/>
        <v>0</v>
      </c>
      <c r="G84" s="534"/>
    </row>
    <row r="85" s="360" customFormat="1" ht="20.1" customHeight="1" spans="1:7">
      <c r="A85" s="510" t="s">
        <v>302</v>
      </c>
      <c r="B85" s="100">
        <v>21956</v>
      </c>
      <c r="C85" s="510">
        <v>28695</v>
      </c>
      <c r="D85" s="236">
        <v>25439</v>
      </c>
      <c r="E85" s="100">
        <v>24162</v>
      </c>
      <c r="F85" s="534">
        <f t="shared" si="10"/>
        <v>10.05</v>
      </c>
      <c r="G85" s="534">
        <f t="shared" ref="G85:G95" si="12">E85/D85*100</f>
        <v>94.98</v>
      </c>
    </row>
    <row r="86" s="360" customFormat="1" ht="20.1" customHeight="1" spans="1:7">
      <c r="A86" s="510" t="s">
        <v>303</v>
      </c>
      <c r="B86" s="100"/>
      <c r="C86" s="510"/>
      <c r="D86" s="236">
        <v>0</v>
      </c>
      <c r="E86" s="100"/>
      <c r="F86" s="534">
        <f t="shared" si="10"/>
        <v>0</v>
      </c>
      <c r="G86" s="534"/>
    </row>
    <row r="87" s="360" customFormat="1" ht="20.1" customHeight="1" spans="1:7">
      <c r="A87" s="510" t="s">
        <v>304</v>
      </c>
      <c r="B87" s="100">
        <v>1738</v>
      </c>
      <c r="C87" s="510">
        <v>1285</v>
      </c>
      <c r="D87" s="236">
        <v>1804</v>
      </c>
      <c r="E87" s="100">
        <v>1561</v>
      </c>
      <c r="F87" s="534">
        <f t="shared" si="10"/>
        <v>-10.18</v>
      </c>
      <c r="G87" s="534">
        <f t="shared" si="12"/>
        <v>86.53</v>
      </c>
    </row>
    <row r="88" s="360" customFormat="1" ht="20.1" customHeight="1" spans="1:7">
      <c r="A88" s="510" t="s">
        <v>305</v>
      </c>
      <c r="B88" s="100">
        <v>2188</v>
      </c>
      <c r="C88" s="510">
        <v>1655</v>
      </c>
      <c r="D88" s="236">
        <v>2054</v>
      </c>
      <c r="E88" s="100">
        <v>2131</v>
      </c>
      <c r="F88" s="534">
        <f t="shared" si="10"/>
        <v>-2.61</v>
      </c>
      <c r="G88" s="534">
        <f t="shared" si="12"/>
        <v>103.75</v>
      </c>
    </row>
    <row r="89" s="360" customFormat="1" ht="20.1" customHeight="1" spans="1:7">
      <c r="A89" s="510" t="s">
        <v>306</v>
      </c>
      <c r="B89" s="100">
        <v>167</v>
      </c>
      <c r="C89" s="510">
        <v>119</v>
      </c>
      <c r="D89" s="236">
        <v>271</v>
      </c>
      <c r="E89" s="100">
        <v>203</v>
      </c>
      <c r="F89" s="534">
        <f t="shared" si="10"/>
        <v>21.56</v>
      </c>
      <c r="G89" s="534">
        <f t="shared" si="12"/>
        <v>74.91</v>
      </c>
    </row>
    <row r="90" s="360" customFormat="1" ht="20.1" customHeight="1" spans="1:7">
      <c r="A90" s="510" t="s">
        <v>307</v>
      </c>
      <c r="B90" s="100">
        <v>755</v>
      </c>
      <c r="C90" s="510">
        <v>888</v>
      </c>
      <c r="D90" s="236">
        <v>995</v>
      </c>
      <c r="E90" s="100">
        <v>930</v>
      </c>
      <c r="F90" s="534">
        <f t="shared" si="10"/>
        <v>23.18</v>
      </c>
      <c r="G90" s="534">
        <f t="shared" si="12"/>
        <v>93.47</v>
      </c>
    </row>
    <row r="91" s="360" customFormat="1" ht="20.1" customHeight="1" spans="1:7">
      <c r="A91" s="510" t="s">
        <v>308</v>
      </c>
      <c r="B91" s="100">
        <v>1285</v>
      </c>
      <c r="C91" s="510">
        <v>628</v>
      </c>
      <c r="D91" s="236">
        <v>1335</v>
      </c>
      <c r="E91" s="100">
        <v>1493</v>
      </c>
      <c r="F91" s="534">
        <f t="shared" si="10"/>
        <v>16.19</v>
      </c>
      <c r="G91" s="534">
        <f t="shared" si="12"/>
        <v>111.84</v>
      </c>
    </row>
    <row r="92" s="360" customFormat="1" ht="20.1" customHeight="1" spans="1:7">
      <c r="A92" s="510" t="s">
        <v>309</v>
      </c>
      <c r="B92" s="100">
        <v>70</v>
      </c>
      <c r="C92" s="510">
        <v>69</v>
      </c>
      <c r="D92" s="236">
        <v>69</v>
      </c>
      <c r="E92" s="100">
        <v>50</v>
      </c>
      <c r="F92" s="534">
        <f t="shared" si="10"/>
        <v>-28.57</v>
      </c>
      <c r="G92" s="534">
        <f t="shared" si="12"/>
        <v>72.46</v>
      </c>
    </row>
    <row r="93" s="360" customFormat="1" ht="20.1" customHeight="1" spans="1:7">
      <c r="A93" s="510" t="s">
        <v>310</v>
      </c>
      <c r="B93" s="100">
        <v>12298</v>
      </c>
      <c r="C93" s="510">
        <v>9148</v>
      </c>
      <c r="D93" s="236">
        <v>10382</v>
      </c>
      <c r="E93" s="100">
        <v>11385</v>
      </c>
      <c r="F93" s="534">
        <f t="shared" si="10"/>
        <v>-7.42</v>
      </c>
      <c r="G93" s="534">
        <f t="shared" si="12"/>
        <v>109.66</v>
      </c>
    </row>
    <row r="94" s="360" customFormat="1" ht="20.1" customHeight="1" spans="1:7">
      <c r="A94" s="510" t="s">
        <v>311</v>
      </c>
      <c r="B94" s="100">
        <v>186</v>
      </c>
      <c r="C94" s="510">
        <v>37</v>
      </c>
      <c r="D94" s="236">
        <v>120</v>
      </c>
      <c r="E94" s="100">
        <v>146</v>
      </c>
      <c r="F94" s="534">
        <f t="shared" si="10"/>
        <v>-21.51</v>
      </c>
      <c r="G94" s="534">
        <f t="shared" si="12"/>
        <v>121.67</v>
      </c>
    </row>
    <row r="95" s="360" customFormat="1" ht="20.1" customHeight="1" spans="1:7">
      <c r="A95" s="510" t="s">
        <v>312</v>
      </c>
      <c r="B95" s="100">
        <v>1626</v>
      </c>
      <c r="C95" s="510"/>
      <c r="D95" s="236">
        <v>1895</v>
      </c>
      <c r="E95" s="100">
        <v>1879</v>
      </c>
      <c r="F95" s="534">
        <f t="shared" si="10"/>
        <v>15.56</v>
      </c>
      <c r="G95" s="534">
        <f t="shared" si="12"/>
        <v>99.16</v>
      </c>
    </row>
    <row r="96" s="360" customFormat="1" ht="20.1" customHeight="1" spans="1:7">
      <c r="A96" s="510" t="s">
        <v>313</v>
      </c>
      <c r="B96" s="100"/>
      <c r="C96" s="510"/>
      <c r="D96" s="236">
        <v>0</v>
      </c>
      <c r="E96" s="100"/>
      <c r="F96" s="534">
        <f t="shared" si="10"/>
        <v>0</v>
      </c>
      <c r="G96" s="534"/>
    </row>
    <row r="97" s="360" customFormat="1" ht="20.1" customHeight="1" spans="1:7">
      <c r="A97" s="510" t="s">
        <v>314</v>
      </c>
      <c r="B97" s="100">
        <v>10</v>
      </c>
      <c r="C97" s="510">
        <v>11</v>
      </c>
      <c r="D97" s="236">
        <v>251</v>
      </c>
      <c r="E97" s="100">
        <v>246</v>
      </c>
      <c r="F97" s="534">
        <f t="shared" si="10"/>
        <v>2360</v>
      </c>
      <c r="G97" s="534">
        <f t="shared" ref="G97:G119" si="13">E97/D97*100</f>
        <v>98.01</v>
      </c>
    </row>
    <row r="98" s="360" customFormat="1" ht="20.1" customHeight="1" spans="1:7">
      <c r="A98" s="510" t="s">
        <v>315</v>
      </c>
      <c r="B98" s="100">
        <v>10644</v>
      </c>
      <c r="C98" s="510">
        <v>8081</v>
      </c>
      <c r="D98" s="236">
        <v>6081</v>
      </c>
      <c r="E98" s="100">
        <v>6468</v>
      </c>
      <c r="F98" s="534">
        <f t="shared" si="10"/>
        <v>-39.23</v>
      </c>
      <c r="G98" s="534">
        <f t="shared" si="13"/>
        <v>106.36</v>
      </c>
    </row>
    <row r="99" s="360" customFormat="1" ht="20.1" customHeight="1" spans="1:7">
      <c r="A99" s="601" t="s">
        <v>316</v>
      </c>
      <c r="B99" s="100"/>
      <c r="C99" s="510"/>
      <c r="D99" s="236">
        <v>0</v>
      </c>
      <c r="E99" s="100"/>
      <c r="F99" s="534">
        <f t="shared" si="10"/>
        <v>0</v>
      </c>
      <c r="G99" s="534"/>
    </row>
    <row r="100" s="360" customFormat="1" ht="20.1" customHeight="1" spans="1:7">
      <c r="A100" s="601" t="s">
        <v>317</v>
      </c>
      <c r="B100" s="100">
        <v>551</v>
      </c>
      <c r="C100" s="510">
        <v>433</v>
      </c>
      <c r="D100" s="236">
        <v>433</v>
      </c>
      <c r="E100" s="100">
        <v>431</v>
      </c>
      <c r="F100" s="534">
        <f t="shared" si="10"/>
        <v>-21.78</v>
      </c>
      <c r="G100" s="534">
        <f t="shared" si="13"/>
        <v>99.54</v>
      </c>
    </row>
    <row r="101" s="360" customFormat="1" ht="20.1" customHeight="1" spans="1:7">
      <c r="A101" s="601" t="s">
        <v>318</v>
      </c>
      <c r="B101" s="100">
        <v>2164</v>
      </c>
      <c r="C101" s="510">
        <v>1956</v>
      </c>
      <c r="D101" s="236">
        <v>1960</v>
      </c>
      <c r="E101" s="100">
        <v>3462</v>
      </c>
      <c r="F101" s="534"/>
      <c r="G101" s="534">
        <f t="shared" si="13"/>
        <v>176.63</v>
      </c>
    </row>
    <row r="102" s="360" customFormat="1" ht="20.1" customHeight="1" spans="1:7">
      <c r="A102" s="510" t="s">
        <v>319</v>
      </c>
      <c r="B102" s="100">
        <v>497</v>
      </c>
      <c r="C102" s="510">
        <v>1684</v>
      </c>
      <c r="D102" s="236">
        <v>1049</v>
      </c>
      <c r="E102" s="100">
        <v>1052</v>
      </c>
      <c r="F102" s="534">
        <f t="shared" ref="F102:F114" si="14">IF(B102=0,,SUM(E102-B102)/B102*100)</f>
        <v>111.67</v>
      </c>
      <c r="G102" s="534">
        <f t="shared" si="13"/>
        <v>100.29</v>
      </c>
    </row>
    <row r="103" s="527" customFormat="1" ht="20.1" customHeight="1" spans="1:7">
      <c r="A103" s="531" t="s">
        <v>320</v>
      </c>
      <c r="B103" s="443">
        <f>SUM(B104:B117)</f>
        <v>25659</v>
      </c>
      <c r="C103" s="443">
        <f>SUM(C104:C117)</f>
        <v>26022</v>
      </c>
      <c r="D103" s="443">
        <f>SUM(D104:D117)</f>
        <v>25830</v>
      </c>
      <c r="E103" s="443">
        <f>SUM(E104:E117)</f>
        <v>24138</v>
      </c>
      <c r="F103" s="532">
        <f t="shared" si="14"/>
        <v>-5.93</v>
      </c>
      <c r="G103" s="532">
        <f t="shared" si="13"/>
        <v>93.45</v>
      </c>
    </row>
    <row r="104" s="360" customFormat="1" ht="20.1" customHeight="1" spans="1:7">
      <c r="A104" s="510" t="s">
        <v>321</v>
      </c>
      <c r="B104" s="100">
        <v>654</v>
      </c>
      <c r="C104" s="510">
        <v>486</v>
      </c>
      <c r="D104" s="236">
        <v>486</v>
      </c>
      <c r="E104" s="100">
        <v>464</v>
      </c>
      <c r="F104" s="534">
        <f t="shared" si="14"/>
        <v>-29.05</v>
      </c>
      <c r="G104" s="534">
        <f t="shared" si="13"/>
        <v>95.47</v>
      </c>
    </row>
    <row r="105" s="360" customFormat="1" ht="20.1" customHeight="1" spans="1:7">
      <c r="A105" s="510" t="s">
        <v>322</v>
      </c>
      <c r="B105" s="100">
        <v>2725</v>
      </c>
      <c r="C105" s="510">
        <v>2440</v>
      </c>
      <c r="D105" s="236">
        <v>2478</v>
      </c>
      <c r="E105" s="100">
        <v>2213</v>
      </c>
      <c r="F105" s="534">
        <f t="shared" si="14"/>
        <v>-18.79</v>
      </c>
      <c r="G105" s="534">
        <f t="shared" si="13"/>
        <v>89.31</v>
      </c>
    </row>
    <row r="106" s="360" customFormat="1" ht="20.1" customHeight="1" spans="1:7">
      <c r="A106" s="510" t="s">
        <v>323</v>
      </c>
      <c r="B106" s="100">
        <v>3630</v>
      </c>
      <c r="C106" s="510">
        <v>3248</v>
      </c>
      <c r="D106" s="236">
        <v>3989</v>
      </c>
      <c r="E106" s="100">
        <v>3565</v>
      </c>
      <c r="F106" s="534">
        <f t="shared" si="14"/>
        <v>-1.79</v>
      </c>
      <c r="G106" s="534">
        <f t="shared" si="13"/>
        <v>89.37</v>
      </c>
    </row>
    <row r="107" s="360" customFormat="1" ht="20.1" customHeight="1" spans="1:7">
      <c r="A107" s="510" t="s">
        <v>324</v>
      </c>
      <c r="B107" s="100">
        <v>8039</v>
      </c>
      <c r="C107" s="510">
        <v>4452</v>
      </c>
      <c r="D107" s="236">
        <v>4491</v>
      </c>
      <c r="E107" s="100">
        <v>4504</v>
      </c>
      <c r="F107" s="534">
        <f t="shared" si="14"/>
        <v>-43.97</v>
      </c>
      <c r="G107" s="534">
        <f t="shared" si="13"/>
        <v>100.29</v>
      </c>
    </row>
    <row r="108" s="360" customFormat="1" ht="20.1" customHeight="1" spans="1:7">
      <c r="A108" s="510" t="s">
        <v>325</v>
      </c>
      <c r="B108" s="100">
        <v>1939</v>
      </c>
      <c r="C108" s="510">
        <v>2906</v>
      </c>
      <c r="D108" s="236">
        <v>2945</v>
      </c>
      <c r="E108" s="100">
        <v>3161</v>
      </c>
      <c r="F108" s="534">
        <f t="shared" si="14"/>
        <v>63.02</v>
      </c>
      <c r="G108" s="534">
        <f t="shared" si="13"/>
        <v>107.33</v>
      </c>
    </row>
    <row r="109" s="360" customFormat="1" ht="20.1" customHeight="1" spans="1:7">
      <c r="A109" s="510" t="s">
        <v>326</v>
      </c>
      <c r="B109" s="100">
        <v>4744</v>
      </c>
      <c r="C109" s="510">
        <v>6595</v>
      </c>
      <c r="D109" s="236">
        <v>5470</v>
      </c>
      <c r="E109" s="100">
        <v>4835</v>
      </c>
      <c r="F109" s="534">
        <f t="shared" si="14"/>
        <v>1.92</v>
      </c>
      <c r="G109" s="534">
        <f t="shared" si="13"/>
        <v>88.39</v>
      </c>
    </row>
    <row r="110" s="360" customFormat="1" ht="20.1" customHeight="1" spans="1:7">
      <c r="A110" s="510" t="s">
        <v>327</v>
      </c>
      <c r="B110" s="100">
        <v>1031</v>
      </c>
      <c r="C110" s="510">
        <v>1024</v>
      </c>
      <c r="D110" s="236">
        <v>1154</v>
      </c>
      <c r="E110" s="100">
        <v>1080</v>
      </c>
      <c r="F110" s="534">
        <f t="shared" si="14"/>
        <v>4.75</v>
      </c>
      <c r="G110" s="534">
        <f t="shared" si="13"/>
        <v>93.59</v>
      </c>
    </row>
    <row r="111" s="360" customFormat="1" ht="20.1" customHeight="1" spans="1:7">
      <c r="A111" s="510" t="s">
        <v>328</v>
      </c>
      <c r="B111" s="100">
        <v>1845</v>
      </c>
      <c r="C111" s="510">
        <v>2428</v>
      </c>
      <c r="D111" s="236">
        <v>2717</v>
      </c>
      <c r="E111" s="100">
        <v>3376</v>
      </c>
      <c r="F111" s="534">
        <f t="shared" si="14"/>
        <v>82.98</v>
      </c>
      <c r="G111" s="534">
        <f t="shared" si="13"/>
        <v>124.25</v>
      </c>
    </row>
    <row r="112" s="360" customFormat="1" ht="20.1" customHeight="1" spans="1:7">
      <c r="A112" s="510" t="s">
        <v>329</v>
      </c>
      <c r="B112" s="100">
        <v>35</v>
      </c>
      <c r="C112" s="510">
        <v>105</v>
      </c>
      <c r="D112" s="236">
        <v>786</v>
      </c>
      <c r="E112" s="100">
        <v>68</v>
      </c>
      <c r="F112" s="534">
        <f t="shared" si="14"/>
        <v>94.29</v>
      </c>
      <c r="G112" s="534">
        <f t="shared" si="13"/>
        <v>8.65</v>
      </c>
    </row>
    <row r="113" s="360" customFormat="1" ht="20.1" customHeight="1" spans="1:7">
      <c r="A113" s="510" t="s">
        <v>330</v>
      </c>
      <c r="B113" s="100">
        <v>623</v>
      </c>
      <c r="C113" s="510">
        <v>403</v>
      </c>
      <c r="D113" s="236">
        <v>562</v>
      </c>
      <c r="E113" s="100">
        <v>398</v>
      </c>
      <c r="F113" s="534">
        <f t="shared" si="14"/>
        <v>-36.12</v>
      </c>
      <c r="G113" s="534">
        <f t="shared" si="13"/>
        <v>70.82</v>
      </c>
    </row>
    <row r="114" s="360" customFormat="1" ht="20.1" customHeight="1" spans="1:7">
      <c r="A114" s="510" t="s">
        <v>331</v>
      </c>
      <c r="B114" s="100">
        <v>40</v>
      </c>
      <c r="C114" s="510"/>
      <c r="D114" s="236">
        <v>2</v>
      </c>
      <c r="E114" s="100"/>
      <c r="F114" s="534">
        <f t="shared" si="14"/>
        <v>-100</v>
      </c>
      <c r="G114" s="534">
        <f t="shared" si="13"/>
        <v>0</v>
      </c>
    </row>
    <row r="115" s="360" customFormat="1" ht="20.1" customHeight="1" spans="1:7">
      <c r="A115" s="510" t="s">
        <v>332</v>
      </c>
      <c r="B115" s="100">
        <v>69</v>
      </c>
      <c r="C115" s="510">
        <v>124</v>
      </c>
      <c r="D115" s="236">
        <v>130</v>
      </c>
      <c r="E115" s="100">
        <v>126</v>
      </c>
      <c r="F115" s="534"/>
      <c r="G115" s="534">
        <f t="shared" si="13"/>
        <v>96.92</v>
      </c>
    </row>
    <row r="116" s="360" customFormat="1" ht="20.1" customHeight="1" spans="1:7">
      <c r="A116" s="510" t="s">
        <v>333</v>
      </c>
      <c r="B116" s="100"/>
      <c r="C116" s="510"/>
      <c r="D116" s="236">
        <v>9</v>
      </c>
      <c r="E116" s="100"/>
      <c r="F116" s="534">
        <f t="shared" ref="F116:F170" si="15">IF(B116=0,,SUM(E116-B116)/B116*100)</f>
        <v>0</v>
      </c>
      <c r="G116" s="534">
        <f t="shared" si="13"/>
        <v>0</v>
      </c>
    </row>
    <row r="117" s="360" customFormat="1" ht="20.1" customHeight="1" spans="1:7">
      <c r="A117" s="510" t="s">
        <v>334</v>
      </c>
      <c r="B117" s="100">
        <v>285</v>
      </c>
      <c r="C117" s="510">
        <v>1811</v>
      </c>
      <c r="D117" s="236">
        <v>611</v>
      </c>
      <c r="E117" s="100">
        <v>348</v>
      </c>
      <c r="F117" s="534">
        <f t="shared" si="15"/>
        <v>22.11</v>
      </c>
      <c r="G117" s="534">
        <f t="shared" si="13"/>
        <v>56.96</v>
      </c>
    </row>
    <row r="118" s="527" customFormat="1" ht="20.1" customHeight="1" spans="1:7">
      <c r="A118" s="531" t="s">
        <v>335</v>
      </c>
      <c r="B118" s="443">
        <f>SUM(B119:B133)</f>
        <v>1410</v>
      </c>
      <c r="C118" s="443">
        <f>SUM(C119:C133)</f>
        <v>3504</v>
      </c>
      <c r="D118" s="443">
        <f>SUM(D119:D133)</f>
        <v>4057</v>
      </c>
      <c r="E118" s="443">
        <f>SUM(E119:E133)</f>
        <v>1142</v>
      </c>
      <c r="F118" s="532">
        <f t="shared" si="15"/>
        <v>-19.01</v>
      </c>
      <c r="G118" s="532">
        <f t="shared" si="13"/>
        <v>28.15</v>
      </c>
    </row>
    <row r="119" s="360" customFormat="1" ht="20.1" customHeight="1" spans="1:7">
      <c r="A119" s="510" t="s">
        <v>336</v>
      </c>
      <c r="B119" s="100">
        <v>6</v>
      </c>
      <c r="C119" s="510"/>
      <c r="D119" s="236">
        <v>61</v>
      </c>
      <c r="E119" s="100">
        <v>1</v>
      </c>
      <c r="F119" s="534">
        <f t="shared" si="15"/>
        <v>-83.33</v>
      </c>
      <c r="G119" s="534">
        <f t="shared" si="13"/>
        <v>1.64</v>
      </c>
    </row>
    <row r="120" s="360" customFormat="1" ht="20.1" customHeight="1" spans="1:7">
      <c r="A120" s="510" t="s">
        <v>337</v>
      </c>
      <c r="B120" s="100"/>
      <c r="C120" s="510"/>
      <c r="D120" s="236">
        <v>0</v>
      </c>
      <c r="E120" s="100"/>
      <c r="F120" s="534">
        <f t="shared" si="15"/>
        <v>0</v>
      </c>
      <c r="G120" s="534"/>
    </row>
    <row r="121" s="360" customFormat="1" ht="20.1" customHeight="1" spans="1:7">
      <c r="A121" s="510" t="s">
        <v>338</v>
      </c>
      <c r="B121" s="100">
        <v>143</v>
      </c>
      <c r="C121" s="510">
        <v>1169</v>
      </c>
      <c r="D121" s="236">
        <v>1175</v>
      </c>
      <c r="E121" s="100">
        <v>8</v>
      </c>
      <c r="F121" s="534">
        <f t="shared" si="15"/>
        <v>-94.41</v>
      </c>
      <c r="G121" s="534">
        <f t="shared" ref="G121:G123" si="16">E121/D121*100</f>
        <v>0.68</v>
      </c>
    </row>
    <row r="122" s="360" customFormat="1" ht="20.1" customHeight="1" spans="1:7">
      <c r="A122" s="510" t="s">
        <v>339</v>
      </c>
      <c r="B122" s="100">
        <v>1216</v>
      </c>
      <c r="C122" s="510">
        <v>1986</v>
      </c>
      <c r="D122" s="236">
        <v>2382</v>
      </c>
      <c r="E122" s="100">
        <v>1093</v>
      </c>
      <c r="F122" s="534">
        <f t="shared" si="15"/>
        <v>-10.12</v>
      </c>
      <c r="G122" s="534">
        <f t="shared" si="16"/>
        <v>45.89</v>
      </c>
    </row>
    <row r="123" s="360" customFormat="1" ht="20.1" customHeight="1" spans="1:7">
      <c r="A123" s="510" t="s">
        <v>340</v>
      </c>
      <c r="B123" s="100">
        <v>11</v>
      </c>
      <c r="C123" s="510">
        <v>15</v>
      </c>
      <c r="D123" s="236">
        <v>44</v>
      </c>
      <c r="E123" s="100">
        <v>7</v>
      </c>
      <c r="F123" s="534">
        <f t="shared" si="15"/>
        <v>-36.36</v>
      </c>
      <c r="G123" s="534">
        <f t="shared" si="16"/>
        <v>15.91</v>
      </c>
    </row>
    <row r="124" s="360" customFormat="1" ht="20.1" customHeight="1" spans="1:7">
      <c r="A124" s="510" t="s">
        <v>341</v>
      </c>
      <c r="B124" s="100"/>
      <c r="C124" s="510"/>
      <c r="D124" s="236">
        <v>0</v>
      </c>
      <c r="E124" s="100"/>
      <c r="F124" s="534">
        <f t="shared" si="15"/>
        <v>0</v>
      </c>
      <c r="G124" s="534"/>
    </row>
    <row r="125" s="360" customFormat="1" ht="20.1" customHeight="1" spans="1:7">
      <c r="A125" s="510" t="s">
        <v>342</v>
      </c>
      <c r="B125" s="100"/>
      <c r="C125" s="510"/>
      <c r="D125" s="236">
        <v>0</v>
      </c>
      <c r="E125" s="100"/>
      <c r="F125" s="534">
        <f t="shared" si="15"/>
        <v>0</v>
      </c>
      <c r="G125" s="534"/>
    </row>
    <row r="126" s="360" customFormat="1" ht="20.1" customHeight="1" spans="1:7">
      <c r="A126" s="510" t="s">
        <v>343</v>
      </c>
      <c r="B126" s="100"/>
      <c r="C126" s="510"/>
      <c r="D126" s="236">
        <v>0</v>
      </c>
      <c r="E126" s="100"/>
      <c r="F126" s="534">
        <f t="shared" si="15"/>
        <v>0</v>
      </c>
      <c r="G126" s="534"/>
    </row>
    <row r="127" s="360" customFormat="1" ht="20.1" customHeight="1" spans="1:7">
      <c r="A127" s="510" t="s">
        <v>344</v>
      </c>
      <c r="B127" s="100"/>
      <c r="C127" s="510"/>
      <c r="D127" s="236">
        <v>0</v>
      </c>
      <c r="E127" s="100"/>
      <c r="F127" s="534">
        <f t="shared" si="15"/>
        <v>0</v>
      </c>
      <c r="G127" s="534"/>
    </row>
    <row r="128" s="360" customFormat="1" ht="20.1" customHeight="1" spans="1:7">
      <c r="A128" s="510" t="s">
        <v>345</v>
      </c>
      <c r="B128" s="100">
        <v>34</v>
      </c>
      <c r="C128" s="510">
        <v>34</v>
      </c>
      <c r="D128" s="236">
        <v>95</v>
      </c>
      <c r="E128" s="100">
        <v>13</v>
      </c>
      <c r="F128" s="534">
        <f t="shared" si="15"/>
        <v>-61.76</v>
      </c>
      <c r="G128" s="534"/>
    </row>
    <row r="129" s="360" customFormat="1" ht="20.1" customHeight="1" spans="1:7">
      <c r="A129" s="510" t="s">
        <v>346</v>
      </c>
      <c r="B129" s="100"/>
      <c r="C129" s="510">
        <v>100</v>
      </c>
      <c r="D129" s="236">
        <v>100</v>
      </c>
      <c r="E129" s="100"/>
      <c r="F129" s="534">
        <f t="shared" si="15"/>
        <v>0</v>
      </c>
      <c r="G129" s="534">
        <f t="shared" ref="G129:G138" si="17">E129/D129*100</f>
        <v>0</v>
      </c>
    </row>
    <row r="130" s="360" customFormat="1" ht="20.1" customHeight="1" spans="1:7">
      <c r="A130" s="510" t="s">
        <v>347</v>
      </c>
      <c r="B130" s="100"/>
      <c r="C130" s="510">
        <v>200</v>
      </c>
      <c r="D130" s="236">
        <v>200</v>
      </c>
      <c r="E130" s="100">
        <v>20</v>
      </c>
      <c r="F130" s="534">
        <f t="shared" si="15"/>
        <v>0</v>
      </c>
      <c r="G130" s="534">
        <f t="shared" si="17"/>
        <v>10</v>
      </c>
    </row>
    <row r="131" s="360" customFormat="1" ht="20.1" customHeight="1" spans="1:7">
      <c r="A131" s="510" t="s">
        <v>348</v>
      </c>
      <c r="B131" s="100"/>
      <c r="C131" s="510"/>
      <c r="D131" s="236">
        <v>0</v>
      </c>
      <c r="E131" s="100"/>
      <c r="F131" s="534">
        <f t="shared" si="15"/>
        <v>0</v>
      </c>
      <c r="G131" s="534"/>
    </row>
    <row r="132" s="360" customFormat="1" ht="20.1" customHeight="1" spans="1:7">
      <c r="A132" s="510" t="s">
        <v>349</v>
      </c>
      <c r="B132" s="100"/>
      <c r="C132" s="510"/>
      <c r="D132" s="236">
        <v>0</v>
      </c>
      <c r="E132" s="100"/>
      <c r="F132" s="534">
        <f t="shared" si="15"/>
        <v>0</v>
      </c>
      <c r="G132" s="534"/>
    </row>
    <row r="133" s="360" customFormat="1" ht="20.1" customHeight="1" spans="1:7">
      <c r="A133" s="510" t="s">
        <v>350</v>
      </c>
      <c r="B133" s="100"/>
      <c r="C133" s="510"/>
      <c r="D133" s="236">
        <v>0</v>
      </c>
      <c r="E133" s="100"/>
      <c r="F133" s="534">
        <f t="shared" si="15"/>
        <v>0</v>
      </c>
      <c r="G133" s="534"/>
    </row>
    <row r="134" s="527" customFormat="1" ht="20.1" customHeight="1" spans="1:7">
      <c r="A134" s="531" t="s">
        <v>351</v>
      </c>
      <c r="B134" s="443">
        <f>SUM(B135:B140)</f>
        <v>7996</v>
      </c>
      <c r="C134" s="443">
        <f>SUM(C135:C140)</f>
        <v>6356</v>
      </c>
      <c r="D134" s="443">
        <f>SUM(D135:D140)</f>
        <v>3812</v>
      </c>
      <c r="E134" s="443">
        <f>SUM(E135:E140)</f>
        <v>3662</v>
      </c>
      <c r="F134" s="532">
        <f t="shared" si="15"/>
        <v>-54.2</v>
      </c>
      <c r="G134" s="532">
        <f t="shared" si="17"/>
        <v>96.07</v>
      </c>
    </row>
    <row r="135" s="360" customFormat="1" ht="20.1" customHeight="1" spans="1:7">
      <c r="A135" s="510" t="s">
        <v>352</v>
      </c>
      <c r="B135" s="100">
        <v>3227</v>
      </c>
      <c r="C135" s="510">
        <v>2425</v>
      </c>
      <c r="D135" s="236">
        <v>2202</v>
      </c>
      <c r="E135" s="100">
        <v>2381</v>
      </c>
      <c r="F135" s="534">
        <f t="shared" si="15"/>
        <v>-26.22</v>
      </c>
      <c r="G135" s="534">
        <f t="shared" si="17"/>
        <v>108.13</v>
      </c>
    </row>
    <row r="136" s="360" customFormat="1" ht="20.1" customHeight="1" spans="1:7">
      <c r="A136" s="510" t="s">
        <v>353</v>
      </c>
      <c r="B136" s="100"/>
      <c r="C136" s="510"/>
      <c r="D136" s="236">
        <v>0</v>
      </c>
      <c r="E136" s="100"/>
      <c r="F136" s="534">
        <f t="shared" si="15"/>
        <v>0</v>
      </c>
      <c r="G136" s="534" t="e">
        <f t="shared" si="17"/>
        <v>#DIV/0!</v>
      </c>
    </row>
    <row r="137" s="360" customFormat="1" ht="20.1" customHeight="1" spans="1:7">
      <c r="A137" s="510" t="s">
        <v>354</v>
      </c>
      <c r="B137" s="100">
        <v>1680</v>
      </c>
      <c r="C137" s="510">
        <v>3716</v>
      </c>
      <c r="D137" s="236">
        <v>1295</v>
      </c>
      <c r="E137" s="100">
        <v>926</v>
      </c>
      <c r="F137" s="534">
        <f t="shared" si="15"/>
        <v>-44.88</v>
      </c>
      <c r="G137" s="534">
        <f t="shared" si="17"/>
        <v>71.51</v>
      </c>
    </row>
    <row r="138" s="360" customFormat="1" ht="20.1" customHeight="1" spans="1:7">
      <c r="A138" s="510" t="s">
        <v>355</v>
      </c>
      <c r="B138" s="100">
        <v>2185</v>
      </c>
      <c r="C138" s="510">
        <v>4</v>
      </c>
      <c r="D138" s="236">
        <v>104</v>
      </c>
      <c r="E138" s="100">
        <v>100</v>
      </c>
      <c r="F138" s="534">
        <f t="shared" si="15"/>
        <v>-95.42</v>
      </c>
      <c r="G138" s="534">
        <f t="shared" si="17"/>
        <v>96.15</v>
      </c>
    </row>
    <row r="139" s="360" customFormat="1" ht="20.1" customHeight="1" spans="1:7">
      <c r="A139" s="510" t="s">
        <v>356</v>
      </c>
      <c r="B139" s="100"/>
      <c r="C139" s="510"/>
      <c r="D139" s="236">
        <v>0</v>
      </c>
      <c r="E139" s="100"/>
      <c r="F139" s="534">
        <f t="shared" si="15"/>
        <v>0</v>
      </c>
      <c r="G139" s="534"/>
    </row>
    <row r="140" s="360" customFormat="1" ht="20.1" customHeight="1" spans="1:7">
      <c r="A140" s="510" t="s">
        <v>357</v>
      </c>
      <c r="B140" s="100">
        <v>904</v>
      </c>
      <c r="C140" s="510">
        <v>211</v>
      </c>
      <c r="D140" s="236">
        <v>211</v>
      </c>
      <c r="E140" s="100">
        <v>255</v>
      </c>
      <c r="F140" s="534">
        <f t="shared" si="15"/>
        <v>-71.79</v>
      </c>
      <c r="G140" s="534">
        <f t="shared" ref="G140:G152" si="18">E140/D140*100</f>
        <v>120.85</v>
      </c>
    </row>
    <row r="141" s="527" customFormat="1" ht="20.1" customHeight="1" spans="1:7">
      <c r="A141" s="531" t="s">
        <v>358</v>
      </c>
      <c r="B141" s="443">
        <f>SUM(B142:B149)</f>
        <v>96162</v>
      </c>
      <c r="C141" s="443">
        <f>SUM(C142:C149)</f>
        <v>95962</v>
      </c>
      <c r="D141" s="443">
        <f>SUM(D142:D149)</f>
        <v>153270</v>
      </c>
      <c r="E141" s="443">
        <f>SUM(E142:E149)</f>
        <v>110919</v>
      </c>
      <c r="F141" s="532">
        <f t="shared" si="15"/>
        <v>15.35</v>
      </c>
      <c r="G141" s="532">
        <f t="shared" si="18"/>
        <v>72.37</v>
      </c>
    </row>
    <row r="142" s="360" customFormat="1" ht="20.1" customHeight="1" spans="1:7">
      <c r="A142" s="510" t="s">
        <v>359</v>
      </c>
      <c r="B142" s="100">
        <v>7454</v>
      </c>
      <c r="C142" s="510">
        <v>16372</v>
      </c>
      <c r="D142" s="236">
        <v>17651</v>
      </c>
      <c r="E142" s="100">
        <v>9919</v>
      </c>
      <c r="F142" s="534">
        <f t="shared" si="15"/>
        <v>33.07</v>
      </c>
      <c r="G142" s="534">
        <f t="shared" si="18"/>
        <v>56.2</v>
      </c>
    </row>
    <row r="143" s="360" customFormat="1" ht="20.1" customHeight="1" spans="1:7">
      <c r="A143" s="510" t="s">
        <v>360</v>
      </c>
      <c r="B143" s="100">
        <v>7866</v>
      </c>
      <c r="C143" s="510">
        <v>13976</v>
      </c>
      <c r="D143" s="236">
        <v>29037</v>
      </c>
      <c r="E143" s="100">
        <v>13613</v>
      </c>
      <c r="F143" s="534">
        <f t="shared" si="15"/>
        <v>73.06</v>
      </c>
      <c r="G143" s="534">
        <f t="shared" si="18"/>
        <v>46.88</v>
      </c>
    </row>
    <row r="144" s="360" customFormat="1" ht="20.1" customHeight="1" spans="1:7">
      <c r="A144" s="510" t="s">
        <v>361</v>
      </c>
      <c r="B144" s="100">
        <v>1689</v>
      </c>
      <c r="C144" s="510">
        <v>4482</v>
      </c>
      <c r="D144" s="236">
        <v>5789</v>
      </c>
      <c r="E144" s="100">
        <v>2975</v>
      </c>
      <c r="F144" s="534">
        <f t="shared" si="15"/>
        <v>76.14</v>
      </c>
      <c r="G144" s="534">
        <f t="shared" si="18"/>
        <v>51.39</v>
      </c>
    </row>
    <row r="145" s="360" customFormat="1" ht="20.1" customHeight="1" spans="1:7">
      <c r="A145" s="510" t="s">
        <v>362</v>
      </c>
      <c r="B145" s="100">
        <v>71441</v>
      </c>
      <c r="C145" s="510">
        <v>46145</v>
      </c>
      <c r="D145" s="540">
        <v>78483</v>
      </c>
      <c r="E145" s="100">
        <v>77182</v>
      </c>
      <c r="F145" s="534">
        <f t="shared" si="15"/>
        <v>8.04</v>
      </c>
      <c r="G145" s="534">
        <f t="shared" si="18"/>
        <v>98.34</v>
      </c>
    </row>
    <row r="146" s="360" customFormat="1" ht="20.1" customHeight="1" spans="1:7">
      <c r="A146" s="510" t="s">
        <v>363</v>
      </c>
      <c r="B146" s="100">
        <v>4782</v>
      </c>
      <c r="C146" s="510">
        <v>8538</v>
      </c>
      <c r="D146" s="236">
        <v>8589</v>
      </c>
      <c r="E146" s="100">
        <v>5045</v>
      </c>
      <c r="F146" s="534">
        <f t="shared" si="15"/>
        <v>5.5</v>
      </c>
      <c r="G146" s="534">
        <f t="shared" si="18"/>
        <v>58.74</v>
      </c>
    </row>
    <row r="147" s="360" customFormat="1" ht="20.1" customHeight="1" spans="1:7">
      <c r="A147" s="510" t="s">
        <v>364</v>
      </c>
      <c r="B147" s="100">
        <v>400</v>
      </c>
      <c r="C147" s="510">
        <v>836</v>
      </c>
      <c r="D147" s="236">
        <v>836</v>
      </c>
      <c r="E147" s="100">
        <v>478</v>
      </c>
      <c r="F147" s="534">
        <f t="shared" si="15"/>
        <v>19.5</v>
      </c>
      <c r="G147" s="534">
        <f t="shared" si="18"/>
        <v>57.18</v>
      </c>
    </row>
    <row r="148" s="360" customFormat="1" ht="20.1" customHeight="1" spans="1:7">
      <c r="A148" s="510" t="s">
        <v>365</v>
      </c>
      <c r="B148" s="100"/>
      <c r="C148" s="510">
        <v>5</v>
      </c>
      <c r="D148" s="236">
        <v>5</v>
      </c>
      <c r="E148" s="100">
        <v>1</v>
      </c>
      <c r="F148" s="534">
        <f t="shared" si="15"/>
        <v>0</v>
      </c>
      <c r="G148" s="534">
        <f t="shared" si="18"/>
        <v>20</v>
      </c>
    </row>
    <row r="149" s="360" customFormat="1" ht="20.1" customHeight="1" spans="1:7">
      <c r="A149" s="510" t="s">
        <v>366</v>
      </c>
      <c r="B149" s="100">
        <v>2530</v>
      </c>
      <c r="C149" s="510">
        <v>5608</v>
      </c>
      <c r="D149" s="236">
        <v>12880</v>
      </c>
      <c r="E149" s="100">
        <v>1706</v>
      </c>
      <c r="F149" s="534">
        <f t="shared" si="15"/>
        <v>-32.57</v>
      </c>
      <c r="G149" s="534">
        <f t="shared" si="18"/>
        <v>13.25</v>
      </c>
    </row>
    <row r="150" s="527" customFormat="1" ht="20.1" customHeight="1" spans="1:7">
      <c r="A150" s="531" t="s">
        <v>367</v>
      </c>
      <c r="B150" s="443">
        <f>SUM(B151:B157)</f>
        <v>2630</v>
      </c>
      <c r="C150" s="443">
        <f>SUM(C151:C157)</f>
        <v>9259</v>
      </c>
      <c r="D150" s="443">
        <f>SUM(D151:D157)</f>
        <v>10992</v>
      </c>
      <c r="E150" s="443">
        <f>SUM(E151:E157)</f>
        <v>2003</v>
      </c>
      <c r="F150" s="532">
        <f t="shared" si="15"/>
        <v>-23.84</v>
      </c>
      <c r="G150" s="532">
        <f t="shared" si="18"/>
        <v>18.22</v>
      </c>
    </row>
    <row r="151" s="360" customFormat="1" ht="20.1" customHeight="1" spans="1:7">
      <c r="A151" s="510" t="s">
        <v>368</v>
      </c>
      <c r="B151" s="100">
        <v>2418</v>
      </c>
      <c r="C151" s="510">
        <v>8796</v>
      </c>
      <c r="D151" s="236">
        <v>9926</v>
      </c>
      <c r="E151" s="100">
        <v>1651</v>
      </c>
      <c r="F151" s="534">
        <f t="shared" si="15"/>
        <v>-31.72</v>
      </c>
      <c r="G151" s="534">
        <f t="shared" si="18"/>
        <v>16.63</v>
      </c>
    </row>
    <row r="152" s="360" customFormat="1" ht="20.1" customHeight="1" spans="1:7">
      <c r="A152" s="510" t="s">
        <v>369</v>
      </c>
      <c r="B152" s="100">
        <v>78</v>
      </c>
      <c r="C152" s="510">
        <v>7</v>
      </c>
      <c r="D152" s="236">
        <v>7</v>
      </c>
      <c r="E152" s="100"/>
      <c r="F152" s="534">
        <f t="shared" si="15"/>
        <v>-100</v>
      </c>
      <c r="G152" s="534">
        <f t="shared" si="18"/>
        <v>0</v>
      </c>
    </row>
    <row r="153" s="360" customFormat="1" ht="20.1" customHeight="1" spans="1:7">
      <c r="A153" s="510" t="s">
        <v>370</v>
      </c>
      <c r="B153" s="100"/>
      <c r="C153" s="510"/>
      <c r="D153" s="236">
        <v>0</v>
      </c>
      <c r="E153" s="100"/>
      <c r="F153" s="534">
        <f t="shared" si="15"/>
        <v>0</v>
      </c>
      <c r="G153" s="534"/>
    </row>
    <row r="154" s="360" customFormat="1" ht="20.1" customHeight="1" spans="1:7">
      <c r="A154" s="510" t="s">
        <v>371</v>
      </c>
      <c r="B154" s="100"/>
      <c r="C154" s="510"/>
      <c r="D154" s="236">
        <v>0</v>
      </c>
      <c r="E154" s="100"/>
      <c r="F154" s="534">
        <f t="shared" si="15"/>
        <v>0</v>
      </c>
      <c r="G154" s="534"/>
    </row>
    <row r="155" s="360" customFormat="1" ht="20.1" customHeight="1" spans="1:7">
      <c r="A155" s="510" t="s">
        <v>372</v>
      </c>
      <c r="B155" s="100"/>
      <c r="C155" s="510"/>
      <c r="D155" s="236">
        <v>0</v>
      </c>
      <c r="E155" s="100"/>
      <c r="F155" s="534">
        <f t="shared" si="15"/>
        <v>0</v>
      </c>
      <c r="G155" s="534"/>
    </row>
    <row r="156" s="360" customFormat="1" ht="20.1" customHeight="1" spans="1:7">
      <c r="A156" s="510" t="s">
        <v>373</v>
      </c>
      <c r="B156" s="100">
        <v>134</v>
      </c>
      <c r="C156" s="510"/>
      <c r="D156" s="236">
        <v>312</v>
      </c>
      <c r="E156" s="100"/>
      <c r="F156" s="534">
        <f t="shared" si="15"/>
        <v>-100</v>
      </c>
      <c r="G156" s="534">
        <f t="shared" ref="G156:G160" si="19">E156/D156*100</f>
        <v>0</v>
      </c>
    </row>
    <row r="157" s="360" customFormat="1" ht="20.1" customHeight="1" spans="1:7">
      <c r="A157" s="510" t="s">
        <v>374</v>
      </c>
      <c r="B157" s="100"/>
      <c r="C157" s="510">
        <v>456</v>
      </c>
      <c r="D157" s="236">
        <v>747</v>
      </c>
      <c r="E157" s="100">
        <v>352</v>
      </c>
      <c r="F157" s="534">
        <f t="shared" si="15"/>
        <v>0</v>
      </c>
      <c r="G157" s="534"/>
    </row>
    <row r="158" s="527" customFormat="1" ht="20.1" customHeight="1" spans="1:7">
      <c r="A158" s="531" t="s">
        <v>375</v>
      </c>
      <c r="B158" s="443">
        <f>SUM(B159:B165)</f>
        <v>452</v>
      </c>
      <c r="C158" s="443">
        <f>SUM(C159:C165)</f>
        <v>1260</v>
      </c>
      <c r="D158" s="443">
        <f>SUM(D159:D165)</f>
        <v>1626</v>
      </c>
      <c r="E158" s="443">
        <f>SUM(E159:E165)</f>
        <v>1110</v>
      </c>
      <c r="F158" s="532">
        <f t="shared" si="15"/>
        <v>145.58</v>
      </c>
      <c r="G158" s="532">
        <f t="shared" si="19"/>
        <v>68.27</v>
      </c>
    </row>
    <row r="159" s="360" customFormat="1" ht="20.1" customHeight="1" spans="1:7">
      <c r="A159" s="510" t="s">
        <v>376</v>
      </c>
      <c r="B159" s="100"/>
      <c r="C159" s="510"/>
      <c r="D159" s="236">
        <v>26</v>
      </c>
      <c r="E159" s="100">
        <v>37</v>
      </c>
      <c r="F159" s="534">
        <f t="shared" si="15"/>
        <v>0</v>
      </c>
      <c r="G159" s="534">
        <f t="shared" si="19"/>
        <v>142.31</v>
      </c>
    </row>
    <row r="160" s="360" customFormat="1" ht="20.1" customHeight="1" spans="1:7">
      <c r="A160" s="510" t="s">
        <v>377</v>
      </c>
      <c r="B160" s="100"/>
      <c r="C160" s="510"/>
      <c r="D160" s="236">
        <v>366</v>
      </c>
      <c r="E160" s="100">
        <v>324</v>
      </c>
      <c r="F160" s="534">
        <f t="shared" si="15"/>
        <v>0</v>
      </c>
      <c r="G160" s="534">
        <f t="shared" si="19"/>
        <v>88.52</v>
      </c>
    </row>
    <row r="161" s="360" customFormat="1" ht="20.1" customHeight="1" spans="1:7">
      <c r="A161" s="510" t="s">
        <v>378</v>
      </c>
      <c r="B161" s="100"/>
      <c r="C161" s="510"/>
      <c r="D161" s="236">
        <v>0</v>
      </c>
      <c r="E161" s="100"/>
      <c r="F161" s="534">
        <f t="shared" si="15"/>
        <v>0</v>
      </c>
      <c r="G161" s="534"/>
    </row>
    <row r="162" s="360" customFormat="1" ht="20.1" customHeight="1" spans="1:7">
      <c r="A162" s="510" t="s">
        <v>379</v>
      </c>
      <c r="B162" s="100">
        <v>30</v>
      </c>
      <c r="C162" s="510"/>
      <c r="D162" s="236">
        <v>0</v>
      </c>
      <c r="E162" s="100">
        <v>49</v>
      </c>
      <c r="F162" s="534">
        <f t="shared" si="15"/>
        <v>63.33</v>
      </c>
      <c r="G162" s="534" t="e">
        <f t="shared" ref="G162:G167" si="20">E162/D162*100</f>
        <v>#DIV/0!</v>
      </c>
    </row>
    <row r="163" s="360" customFormat="1" ht="20.1" customHeight="1" spans="1:7">
      <c r="A163" s="510" t="s">
        <v>380</v>
      </c>
      <c r="B163" s="100">
        <v>1</v>
      </c>
      <c r="C163" s="510"/>
      <c r="D163" s="236">
        <v>0</v>
      </c>
      <c r="E163" s="100"/>
      <c r="F163" s="534">
        <f t="shared" si="15"/>
        <v>-100</v>
      </c>
      <c r="G163" s="534" t="e">
        <f t="shared" si="20"/>
        <v>#DIV/0!</v>
      </c>
    </row>
    <row r="164" s="360" customFormat="1" ht="20.1" customHeight="1" spans="1:7">
      <c r="A164" s="510" t="s">
        <v>381</v>
      </c>
      <c r="B164" s="100">
        <v>361</v>
      </c>
      <c r="C164" s="510"/>
      <c r="D164" s="236">
        <v>0</v>
      </c>
      <c r="E164" s="100"/>
      <c r="F164" s="534">
        <f t="shared" si="15"/>
        <v>-100</v>
      </c>
      <c r="G164" s="534" t="e">
        <f t="shared" si="20"/>
        <v>#DIV/0!</v>
      </c>
    </row>
    <row r="165" s="360" customFormat="1" ht="20.1" customHeight="1" spans="1:7">
      <c r="A165" s="510" t="s">
        <v>382</v>
      </c>
      <c r="B165" s="100">
        <v>60</v>
      </c>
      <c r="C165" s="510">
        <v>1260</v>
      </c>
      <c r="D165" s="236">
        <v>1234</v>
      </c>
      <c r="E165" s="100">
        <v>700</v>
      </c>
      <c r="F165" s="534">
        <f t="shared" si="15"/>
        <v>1066.67</v>
      </c>
      <c r="G165" s="534">
        <f t="shared" si="20"/>
        <v>56.73</v>
      </c>
    </row>
    <row r="166" s="527" customFormat="1" ht="20.1" customHeight="1" spans="1:7">
      <c r="A166" s="531" t="s">
        <v>383</v>
      </c>
      <c r="B166" s="443">
        <f>SUM(B167:B169)</f>
        <v>148</v>
      </c>
      <c r="C166" s="443">
        <f>SUM(C167:C169)</f>
        <v>548</v>
      </c>
      <c r="D166" s="443">
        <f>SUM(D167:D169)</f>
        <v>654</v>
      </c>
      <c r="E166" s="443">
        <f>SUM(E167:E169)</f>
        <v>538</v>
      </c>
      <c r="F166" s="532">
        <f t="shared" si="15"/>
        <v>263.51</v>
      </c>
      <c r="G166" s="532">
        <f t="shared" si="20"/>
        <v>82.26</v>
      </c>
    </row>
    <row r="167" s="360" customFormat="1" ht="20.1" customHeight="1" spans="1:7">
      <c r="A167" s="510" t="s">
        <v>384</v>
      </c>
      <c r="B167" s="100">
        <v>148</v>
      </c>
      <c r="C167" s="510">
        <v>548</v>
      </c>
      <c r="D167" s="236">
        <v>654</v>
      </c>
      <c r="E167" s="100">
        <v>538</v>
      </c>
      <c r="F167" s="534">
        <f t="shared" si="15"/>
        <v>263.51</v>
      </c>
      <c r="G167" s="534">
        <f t="shared" si="20"/>
        <v>82.26</v>
      </c>
    </row>
    <row r="168" s="360" customFormat="1" ht="20.1" customHeight="1" spans="1:7">
      <c r="A168" s="510" t="s">
        <v>385</v>
      </c>
      <c r="B168" s="100"/>
      <c r="C168" s="510"/>
      <c r="D168" s="236"/>
      <c r="E168" s="100">
        <v>0</v>
      </c>
      <c r="F168" s="534">
        <f t="shared" si="15"/>
        <v>0</v>
      </c>
      <c r="G168" s="534"/>
    </row>
    <row r="169" s="360" customFormat="1" ht="20.1" customHeight="1" spans="1:7">
      <c r="A169" s="510" t="s">
        <v>386</v>
      </c>
      <c r="B169" s="100"/>
      <c r="C169" s="510">
        <v>0</v>
      </c>
      <c r="D169" s="236"/>
      <c r="E169" s="100">
        <v>0</v>
      </c>
      <c r="F169" s="534">
        <f t="shared" si="15"/>
        <v>0</v>
      </c>
      <c r="G169" s="534"/>
    </row>
    <row r="170" s="527" customFormat="1" ht="20.1" customHeight="1" spans="1:7">
      <c r="A170" s="531" t="s">
        <v>387</v>
      </c>
      <c r="B170" s="443">
        <f>SUM(B171:B175)</f>
        <v>1294</v>
      </c>
      <c r="C170" s="443">
        <f>SUM(C171:C175)</f>
        <v>2207</v>
      </c>
      <c r="D170" s="443">
        <f>SUM(D171:D175)</f>
        <v>1595</v>
      </c>
      <c r="E170" s="443">
        <f>SUM(E171:E175)</f>
        <v>65</v>
      </c>
      <c r="F170" s="532">
        <f t="shared" si="15"/>
        <v>-94.98</v>
      </c>
      <c r="G170" s="532">
        <f t="shared" ref="G170:G175" si="21">E170/D170*100</f>
        <v>4.08</v>
      </c>
    </row>
    <row r="171" s="527" customFormat="1" ht="20.1" customHeight="1" spans="1:7">
      <c r="A171" s="305" t="s">
        <v>388</v>
      </c>
      <c r="B171" s="443"/>
      <c r="C171" s="443"/>
      <c r="D171" s="443"/>
      <c r="E171" s="100">
        <v>0</v>
      </c>
      <c r="F171" s="532"/>
      <c r="G171" s="532"/>
    </row>
    <row r="172" s="527" customFormat="1" ht="20.1" customHeight="1" spans="1:7">
      <c r="A172" s="305" t="s">
        <v>389</v>
      </c>
      <c r="B172" s="443"/>
      <c r="C172" s="443"/>
      <c r="D172" s="443"/>
      <c r="E172" s="100"/>
      <c r="F172" s="532"/>
      <c r="G172" s="532"/>
    </row>
    <row r="173" s="360" customFormat="1" ht="20.1" customHeight="1" spans="1:7">
      <c r="A173" s="510" t="s">
        <v>390</v>
      </c>
      <c r="B173" s="100"/>
      <c r="C173" s="510"/>
      <c r="D173" s="236"/>
      <c r="E173" s="100"/>
      <c r="F173" s="534">
        <f t="shared" ref="F173:F221" si="22">IF(B173=0,,SUM(E173-B173)/B173*100)</f>
        <v>0</v>
      </c>
      <c r="G173" s="534"/>
    </row>
    <row r="174" s="360" customFormat="1" ht="20.1" customHeight="1" spans="1:7">
      <c r="A174" s="510" t="s">
        <v>391</v>
      </c>
      <c r="B174" s="100">
        <v>1266</v>
      </c>
      <c r="C174" s="510">
        <v>2207</v>
      </c>
      <c r="D174" s="236">
        <v>1595</v>
      </c>
      <c r="E174" s="100">
        <v>65</v>
      </c>
      <c r="F174" s="534">
        <f t="shared" si="22"/>
        <v>-94.87</v>
      </c>
      <c r="G174" s="534">
        <f t="shared" si="21"/>
        <v>4.08</v>
      </c>
    </row>
    <row r="175" s="360" customFormat="1" ht="20.1" customHeight="1" spans="1:7">
      <c r="A175" s="510" t="s">
        <v>392</v>
      </c>
      <c r="B175" s="100">
        <v>28</v>
      </c>
      <c r="C175" s="510"/>
      <c r="D175" s="236"/>
      <c r="E175" s="100"/>
      <c r="F175" s="534">
        <f t="shared" si="22"/>
        <v>-100</v>
      </c>
      <c r="G175" s="534" t="e">
        <f t="shared" si="21"/>
        <v>#DIV/0!</v>
      </c>
    </row>
    <row r="176" s="527" customFormat="1" ht="20.1" customHeight="1" spans="1:7">
      <c r="A176" s="531" t="s">
        <v>393</v>
      </c>
      <c r="B176" s="443">
        <f>SUM(B177:B185)</f>
        <v>0</v>
      </c>
      <c r="C176" s="443">
        <f>SUM(C177:C185)</f>
        <v>0</v>
      </c>
      <c r="D176" s="443">
        <f>SUM(D177:D185)</f>
        <v>0</v>
      </c>
      <c r="E176" s="443">
        <f>SUM(E177:E185)</f>
        <v>0</v>
      </c>
      <c r="F176" s="532">
        <f t="shared" si="22"/>
        <v>0</v>
      </c>
      <c r="G176" s="532"/>
    </row>
    <row r="177" s="360" customFormat="1" ht="14.25" customHeight="1" spans="1:7">
      <c r="A177" s="510" t="s">
        <v>166</v>
      </c>
      <c r="B177" s="100">
        <v>0</v>
      </c>
      <c r="C177" s="510">
        <v>0</v>
      </c>
      <c r="D177" s="236">
        <v>0</v>
      </c>
      <c r="E177" s="100">
        <v>0</v>
      </c>
      <c r="F177" s="534">
        <f t="shared" si="22"/>
        <v>0</v>
      </c>
      <c r="G177" s="534"/>
    </row>
    <row r="178" s="360" customFormat="1" ht="14.25" customHeight="1" spans="1:7">
      <c r="A178" s="510" t="s">
        <v>170</v>
      </c>
      <c r="B178" s="100">
        <v>0</v>
      </c>
      <c r="C178" s="510">
        <v>0</v>
      </c>
      <c r="D178" s="236">
        <v>0</v>
      </c>
      <c r="E178" s="100">
        <v>0</v>
      </c>
      <c r="F178" s="534">
        <f t="shared" si="22"/>
        <v>0</v>
      </c>
      <c r="G178" s="534"/>
    </row>
    <row r="179" s="360" customFormat="1" ht="14.25" customHeight="1" spans="1:7">
      <c r="A179" s="510" t="s">
        <v>173</v>
      </c>
      <c r="B179" s="100">
        <v>0</v>
      </c>
      <c r="C179" s="510">
        <v>0</v>
      </c>
      <c r="D179" s="236">
        <v>0</v>
      </c>
      <c r="E179" s="100">
        <v>0</v>
      </c>
      <c r="F179" s="534">
        <f t="shared" si="22"/>
        <v>0</v>
      </c>
      <c r="G179" s="534"/>
    </row>
    <row r="180" s="360" customFormat="1" ht="14.25" customHeight="1" spans="1:7">
      <c r="A180" s="510" t="s">
        <v>176</v>
      </c>
      <c r="B180" s="100">
        <v>0</v>
      </c>
      <c r="C180" s="510">
        <v>0</v>
      </c>
      <c r="D180" s="236">
        <v>0</v>
      </c>
      <c r="E180" s="100">
        <v>0</v>
      </c>
      <c r="F180" s="534">
        <f t="shared" si="22"/>
        <v>0</v>
      </c>
      <c r="G180" s="534"/>
    </row>
    <row r="181" s="360" customFormat="1" ht="14.25" customHeight="1" spans="1:7">
      <c r="A181" s="510" t="s">
        <v>177</v>
      </c>
      <c r="B181" s="100">
        <v>0</v>
      </c>
      <c r="C181" s="510">
        <v>0</v>
      </c>
      <c r="D181" s="236">
        <v>0</v>
      </c>
      <c r="E181" s="100">
        <v>0</v>
      </c>
      <c r="F181" s="534">
        <f t="shared" si="22"/>
        <v>0</v>
      </c>
      <c r="G181" s="534"/>
    </row>
    <row r="182" s="360" customFormat="1" ht="14.25" customHeight="1" spans="1:7">
      <c r="A182" s="510" t="s">
        <v>394</v>
      </c>
      <c r="B182" s="100">
        <v>0</v>
      </c>
      <c r="C182" s="510">
        <v>0</v>
      </c>
      <c r="D182" s="236">
        <v>0</v>
      </c>
      <c r="E182" s="100">
        <v>0</v>
      </c>
      <c r="F182" s="534">
        <f t="shared" si="22"/>
        <v>0</v>
      </c>
      <c r="G182" s="534"/>
    </row>
    <row r="183" s="360" customFormat="1" ht="14.25" customHeight="1" spans="1:7">
      <c r="A183" s="510" t="s">
        <v>180</v>
      </c>
      <c r="B183" s="100">
        <v>0</v>
      </c>
      <c r="C183" s="510">
        <v>0</v>
      </c>
      <c r="D183" s="236">
        <v>0</v>
      </c>
      <c r="E183" s="100">
        <v>0</v>
      </c>
      <c r="F183" s="534">
        <f t="shared" si="22"/>
        <v>0</v>
      </c>
      <c r="G183" s="534"/>
    </row>
    <row r="184" s="360" customFormat="1" ht="14.25" customHeight="1" spans="1:7">
      <c r="A184" s="510" t="s">
        <v>186</v>
      </c>
      <c r="B184" s="100">
        <v>0</v>
      </c>
      <c r="C184" s="510">
        <v>0</v>
      </c>
      <c r="D184" s="236">
        <v>0</v>
      </c>
      <c r="E184" s="100">
        <v>0</v>
      </c>
      <c r="F184" s="534">
        <f t="shared" si="22"/>
        <v>0</v>
      </c>
      <c r="G184" s="534"/>
    </row>
    <row r="185" s="360" customFormat="1" ht="20.1" customHeight="1" spans="1:7">
      <c r="A185" s="510" t="s">
        <v>189</v>
      </c>
      <c r="B185" s="100">
        <v>0</v>
      </c>
      <c r="C185" s="510">
        <v>0</v>
      </c>
      <c r="D185" s="236">
        <v>0</v>
      </c>
      <c r="E185" s="100">
        <v>0</v>
      </c>
      <c r="F185" s="534">
        <f t="shared" si="22"/>
        <v>0</v>
      </c>
      <c r="G185" s="534"/>
    </row>
    <row r="186" s="527" customFormat="1" ht="20.1" customHeight="1" spans="1:7">
      <c r="A186" s="531" t="s">
        <v>395</v>
      </c>
      <c r="B186" s="443">
        <f>SUM(B187:B191)</f>
        <v>1372</v>
      </c>
      <c r="C186" s="443">
        <f>SUM(C187:C191)</f>
        <v>1655</v>
      </c>
      <c r="D186" s="443">
        <f>SUM(D187:D191)</f>
        <v>1655</v>
      </c>
      <c r="E186" s="443">
        <f>SUM(E187:E191)</f>
        <v>1185</v>
      </c>
      <c r="F186" s="532">
        <f t="shared" si="22"/>
        <v>-13.63</v>
      </c>
      <c r="G186" s="532">
        <f t="shared" ref="G186:G190" si="23">E186/D186*100</f>
        <v>71.6</v>
      </c>
    </row>
    <row r="187" s="360" customFormat="1" ht="20.1" customHeight="1" spans="1:7">
      <c r="A187" s="510" t="s">
        <v>396</v>
      </c>
      <c r="B187" s="100">
        <v>1286</v>
      </c>
      <c r="C187" s="159">
        <v>1514</v>
      </c>
      <c r="D187" s="236">
        <v>1514</v>
      </c>
      <c r="E187" s="100">
        <v>1132</v>
      </c>
      <c r="F187" s="534">
        <f t="shared" si="22"/>
        <v>-11.98</v>
      </c>
      <c r="G187" s="534">
        <f t="shared" si="23"/>
        <v>74.77</v>
      </c>
    </row>
    <row r="188" s="360" customFormat="1" ht="20.1" customHeight="1" spans="1:7">
      <c r="A188" s="510" t="s">
        <v>397</v>
      </c>
      <c r="B188" s="100"/>
      <c r="C188" s="159"/>
      <c r="D188" s="236">
        <v>0</v>
      </c>
      <c r="E188" s="100"/>
      <c r="F188" s="534">
        <f t="shared" si="22"/>
        <v>0</v>
      </c>
      <c r="G188" s="534" t="e">
        <f t="shared" si="23"/>
        <v>#DIV/0!</v>
      </c>
    </row>
    <row r="189" s="360" customFormat="1" ht="20.1" customHeight="1" spans="1:7">
      <c r="A189" s="510" t="s">
        <v>398</v>
      </c>
      <c r="B189" s="100"/>
      <c r="C189" s="159"/>
      <c r="D189" s="236">
        <v>0</v>
      </c>
      <c r="E189" s="100"/>
      <c r="F189" s="534">
        <f t="shared" si="22"/>
        <v>0</v>
      </c>
      <c r="G189" s="534" t="e">
        <f t="shared" si="23"/>
        <v>#DIV/0!</v>
      </c>
    </row>
    <row r="190" s="360" customFormat="1" ht="20.1" customHeight="1" spans="1:7">
      <c r="A190" s="510" t="s">
        <v>399</v>
      </c>
      <c r="B190" s="100">
        <v>86</v>
      </c>
      <c r="C190" s="159">
        <v>141</v>
      </c>
      <c r="D190" s="236">
        <v>141</v>
      </c>
      <c r="E190" s="100">
        <v>53</v>
      </c>
      <c r="F190" s="534">
        <f t="shared" si="22"/>
        <v>-38.37</v>
      </c>
      <c r="G190" s="534">
        <f t="shared" si="23"/>
        <v>37.59</v>
      </c>
    </row>
    <row r="191" s="360" customFormat="1" ht="20.1" customHeight="1" spans="1:7">
      <c r="A191" s="510" t="s">
        <v>400</v>
      </c>
      <c r="B191" s="100"/>
      <c r="C191" s="510"/>
      <c r="D191" s="236">
        <v>0</v>
      </c>
      <c r="E191" s="100"/>
      <c r="F191" s="534">
        <f t="shared" si="22"/>
        <v>0</v>
      </c>
      <c r="G191" s="534"/>
    </row>
    <row r="192" s="527" customFormat="1" ht="20.1" customHeight="1" spans="1:7">
      <c r="A192" s="531" t="s">
        <v>401</v>
      </c>
      <c r="B192" s="443">
        <f>SUM(B193:B195)</f>
        <v>6031</v>
      </c>
      <c r="C192" s="443">
        <f>SUM(C193:C195)</f>
        <v>11231</v>
      </c>
      <c r="D192" s="443">
        <f>SUM(D193:D195)</f>
        <v>11699</v>
      </c>
      <c r="E192" s="443">
        <f>SUM(E193:E195)</f>
        <v>9689</v>
      </c>
      <c r="F192" s="532">
        <f t="shared" si="22"/>
        <v>60.65</v>
      </c>
      <c r="G192" s="532">
        <f t="shared" ref="G192:G197" si="24">E192/D192*100</f>
        <v>82.82</v>
      </c>
    </row>
    <row r="193" s="360" customFormat="1" ht="20.1" customHeight="1" spans="1:7">
      <c r="A193" s="510" t="s">
        <v>402</v>
      </c>
      <c r="B193" s="100">
        <v>919</v>
      </c>
      <c r="C193" s="510">
        <v>345</v>
      </c>
      <c r="D193" s="236">
        <v>813</v>
      </c>
      <c r="E193" s="100">
        <v>530</v>
      </c>
      <c r="F193" s="534">
        <f t="shared" si="22"/>
        <v>-42.33</v>
      </c>
      <c r="G193" s="534">
        <f t="shared" si="24"/>
        <v>65.19</v>
      </c>
    </row>
    <row r="194" s="360" customFormat="1" ht="20.1" customHeight="1" spans="1:7">
      <c r="A194" s="510" t="s">
        <v>403</v>
      </c>
      <c r="B194" s="100">
        <v>5112</v>
      </c>
      <c r="C194" s="510">
        <v>10886</v>
      </c>
      <c r="D194" s="236">
        <v>10886</v>
      </c>
      <c r="E194" s="100">
        <v>9159</v>
      </c>
      <c r="F194" s="534">
        <f t="shared" si="22"/>
        <v>79.17</v>
      </c>
      <c r="G194" s="534">
        <f t="shared" si="24"/>
        <v>84.14</v>
      </c>
    </row>
    <row r="195" s="360" customFormat="1" ht="20.1" customHeight="1" spans="1:7">
      <c r="A195" s="510" t="s">
        <v>404</v>
      </c>
      <c r="B195" s="100"/>
      <c r="C195" s="510"/>
      <c r="D195" s="236">
        <v>0</v>
      </c>
      <c r="E195" s="100"/>
      <c r="F195" s="534">
        <f t="shared" si="22"/>
        <v>0</v>
      </c>
      <c r="G195" s="534" t="e">
        <f t="shared" si="24"/>
        <v>#DIV/0!</v>
      </c>
    </row>
    <row r="196" s="527" customFormat="1" ht="20.1" customHeight="1" spans="1:7">
      <c r="A196" s="531" t="s">
        <v>405</v>
      </c>
      <c r="B196" s="443">
        <f>SUM(B197:B200)</f>
        <v>155</v>
      </c>
      <c r="C196" s="443">
        <f>SUM(C197:C200)</f>
        <v>182</v>
      </c>
      <c r="D196" s="443">
        <f>SUM(D197:D200)</f>
        <v>182</v>
      </c>
      <c r="E196" s="443">
        <f>SUM(E197:E200)</f>
        <v>146</v>
      </c>
      <c r="F196" s="532">
        <f t="shared" si="22"/>
        <v>-5.81</v>
      </c>
      <c r="G196" s="532">
        <f t="shared" si="24"/>
        <v>80.22</v>
      </c>
    </row>
    <row r="197" s="360" customFormat="1" ht="20.1" customHeight="1" spans="1:7">
      <c r="A197" s="510" t="s">
        <v>406</v>
      </c>
      <c r="B197" s="100">
        <v>155</v>
      </c>
      <c r="C197" s="510">
        <v>152</v>
      </c>
      <c r="D197" s="236">
        <v>152</v>
      </c>
      <c r="E197" s="100">
        <v>116</v>
      </c>
      <c r="F197" s="534">
        <f t="shared" si="22"/>
        <v>-25.16</v>
      </c>
      <c r="G197" s="534">
        <f t="shared" si="24"/>
        <v>76.32</v>
      </c>
    </row>
    <row r="198" s="360" customFormat="1" ht="20.1" customHeight="1" spans="1:7">
      <c r="A198" s="510" t="s">
        <v>407</v>
      </c>
      <c r="B198" s="100"/>
      <c r="C198" s="510"/>
      <c r="D198" s="236">
        <v>0</v>
      </c>
      <c r="E198" s="100">
        <v>0</v>
      </c>
      <c r="F198" s="534">
        <f t="shared" si="22"/>
        <v>0</v>
      </c>
      <c r="G198" s="534"/>
    </row>
    <row r="199" s="360" customFormat="1" ht="20.1" customHeight="1" spans="1:7">
      <c r="A199" s="510" t="s">
        <v>408</v>
      </c>
      <c r="B199" s="100"/>
      <c r="C199" s="510">
        <v>30</v>
      </c>
      <c r="D199" s="236">
        <v>30</v>
      </c>
      <c r="E199" s="100">
        <v>30</v>
      </c>
      <c r="F199" s="534">
        <f t="shared" si="22"/>
        <v>0</v>
      </c>
      <c r="G199" s="534"/>
    </row>
    <row r="200" s="360" customFormat="1" ht="20.1" customHeight="1" spans="1:7">
      <c r="A200" s="510" t="s">
        <v>409</v>
      </c>
      <c r="B200" s="100"/>
      <c r="C200" s="510"/>
      <c r="D200" s="236">
        <v>0</v>
      </c>
      <c r="E200" s="100">
        <v>0</v>
      </c>
      <c r="F200" s="534">
        <f t="shared" si="22"/>
        <v>0</v>
      </c>
      <c r="G200" s="534"/>
    </row>
    <row r="201" s="527" customFormat="1" ht="20.1" customHeight="1" spans="1:7">
      <c r="A201" s="124" t="s">
        <v>410</v>
      </c>
      <c r="B201" s="443">
        <f>SUM(B202:B209)</f>
        <v>3271</v>
      </c>
      <c r="C201" s="443">
        <f>SUM(C202:C209)</f>
        <v>3633</v>
      </c>
      <c r="D201" s="443">
        <f>SUM(D202:D209)</f>
        <v>4593</v>
      </c>
      <c r="E201" s="443">
        <f>SUM(E202:E209)</f>
        <v>2461</v>
      </c>
      <c r="F201" s="532">
        <f t="shared" si="22"/>
        <v>-24.76</v>
      </c>
      <c r="G201" s="532">
        <f t="shared" ref="G201:G203" si="25">E201/D201*100</f>
        <v>53.58</v>
      </c>
    </row>
    <row r="202" s="360" customFormat="1" ht="20.1" customHeight="1" spans="1:7">
      <c r="A202" s="36" t="s">
        <v>411</v>
      </c>
      <c r="B202" s="100">
        <v>594</v>
      </c>
      <c r="C202" s="510">
        <v>425</v>
      </c>
      <c r="D202" s="236">
        <v>425</v>
      </c>
      <c r="E202" s="100">
        <v>410</v>
      </c>
      <c r="F202" s="534">
        <f t="shared" si="22"/>
        <v>-30.98</v>
      </c>
      <c r="G202" s="534">
        <f t="shared" si="25"/>
        <v>96.47</v>
      </c>
    </row>
    <row r="203" s="360" customFormat="1" ht="20.1" customHeight="1" spans="1:7">
      <c r="A203" s="36" t="s">
        <v>412</v>
      </c>
      <c r="B203" s="100">
        <v>935</v>
      </c>
      <c r="C203" s="510">
        <v>909</v>
      </c>
      <c r="D203" s="236">
        <v>909</v>
      </c>
      <c r="E203" s="100">
        <v>679</v>
      </c>
      <c r="F203" s="534">
        <f t="shared" si="22"/>
        <v>-27.38</v>
      </c>
      <c r="G203" s="534">
        <f t="shared" si="25"/>
        <v>74.7</v>
      </c>
    </row>
    <row r="204" s="360" customFormat="1" ht="20.1" customHeight="1" spans="1:7">
      <c r="A204" s="36" t="s">
        <v>413</v>
      </c>
      <c r="B204" s="100"/>
      <c r="C204" s="510"/>
      <c r="D204" s="236">
        <v>0</v>
      </c>
      <c r="E204" s="100"/>
      <c r="F204" s="534">
        <f t="shared" si="22"/>
        <v>0</v>
      </c>
      <c r="G204" s="534"/>
    </row>
    <row r="205" s="360" customFormat="1" ht="20.1" customHeight="1" spans="1:7">
      <c r="A205" s="36" t="s">
        <v>414</v>
      </c>
      <c r="B205" s="100"/>
      <c r="C205" s="510">
        <v>5</v>
      </c>
      <c r="D205" s="236">
        <v>5</v>
      </c>
      <c r="E205" s="100"/>
      <c r="F205" s="534">
        <f t="shared" si="22"/>
        <v>0</v>
      </c>
      <c r="G205" s="534"/>
    </row>
    <row r="206" s="360" customFormat="1" ht="20.1" customHeight="1" spans="1:7">
      <c r="A206" s="36" t="s">
        <v>415</v>
      </c>
      <c r="B206" s="100"/>
      <c r="C206" s="510"/>
      <c r="D206" s="236">
        <v>0</v>
      </c>
      <c r="E206" s="100"/>
      <c r="F206" s="534">
        <f t="shared" si="22"/>
        <v>0</v>
      </c>
      <c r="G206" s="534"/>
    </row>
    <row r="207" s="360" customFormat="1" ht="20.1" customHeight="1" spans="1:7">
      <c r="A207" s="36" t="s">
        <v>416</v>
      </c>
      <c r="B207" s="100">
        <v>525</v>
      </c>
      <c r="C207" s="510">
        <v>1532</v>
      </c>
      <c r="D207" s="236">
        <v>2468</v>
      </c>
      <c r="E207" s="100">
        <v>1211</v>
      </c>
      <c r="F207" s="534">
        <f t="shared" si="22"/>
        <v>130.67</v>
      </c>
      <c r="G207" s="534">
        <f t="shared" ref="G207:G209" si="26">E207/D207*100</f>
        <v>49.07</v>
      </c>
    </row>
    <row r="208" s="360" customFormat="1" ht="20.1" customHeight="1" spans="1:7">
      <c r="A208" s="36" t="s">
        <v>417</v>
      </c>
      <c r="B208" s="100">
        <v>600</v>
      </c>
      <c r="C208" s="510"/>
      <c r="D208" s="236">
        <v>65</v>
      </c>
      <c r="E208" s="100">
        <v>17</v>
      </c>
      <c r="F208" s="534">
        <f t="shared" si="22"/>
        <v>-97.17</v>
      </c>
      <c r="G208" s="534">
        <f t="shared" si="26"/>
        <v>26.15</v>
      </c>
    </row>
    <row r="209" s="360" customFormat="1" ht="20.1" customHeight="1" spans="1:7">
      <c r="A209" s="36" t="s">
        <v>418</v>
      </c>
      <c r="B209" s="100">
        <v>617</v>
      </c>
      <c r="C209" s="510">
        <v>762</v>
      </c>
      <c r="D209" s="236">
        <v>721</v>
      </c>
      <c r="E209" s="100">
        <v>144</v>
      </c>
      <c r="F209" s="534">
        <f t="shared" si="22"/>
        <v>-76.66</v>
      </c>
      <c r="G209" s="534">
        <f t="shared" si="26"/>
        <v>19.97</v>
      </c>
    </row>
    <row r="210" s="527" customFormat="1" ht="21" customHeight="1" spans="1:7">
      <c r="A210" s="602" t="s">
        <v>419</v>
      </c>
      <c r="B210" s="531"/>
      <c r="C210" s="531">
        <v>5000</v>
      </c>
      <c r="D210" s="542">
        <v>0</v>
      </c>
      <c r="E210" s="100"/>
      <c r="F210" s="532">
        <f t="shared" si="22"/>
        <v>0</v>
      </c>
      <c r="G210" s="532"/>
    </row>
    <row r="211" s="359" customFormat="1" ht="22" customHeight="1" spans="1:12">
      <c r="A211" s="602" t="s">
        <v>420</v>
      </c>
      <c r="B211" s="531">
        <f>SUM(B212:B213)</f>
        <v>125</v>
      </c>
      <c r="C211" s="531">
        <f>SUM(C212:C213)</f>
        <v>0</v>
      </c>
      <c r="D211" s="531">
        <f>SUM(D212:D213)</f>
        <v>0</v>
      </c>
      <c r="E211" s="531">
        <f>SUM(E212:E213)</f>
        <v>6</v>
      </c>
      <c r="F211" s="532">
        <f t="shared" si="22"/>
        <v>-95.2</v>
      </c>
      <c r="G211" s="532" t="e">
        <f t="shared" ref="G211:G222" si="27">E211/D211*100</f>
        <v>#DIV/0!</v>
      </c>
      <c r="L211" s="603" t="s">
        <v>421</v>
      </c>
    </row>
    <row r="212" s="125" customFormat="1" ht="22" customHeight="1" spans="1:7">
      <c r="A212" s="510" t="s">
        <v>422</v>
      </c>
      <c r="B212" s="510"/>
      <c r="C212" s="510"/>
      <c r="D212" s="236">
        <v>0</v>
      </c>
      <c r="E212" s="100"/>
      <c r="F212" s="534">
        <f t="shared" si="22"/>
        <v>0</v>
      </c>
      <c r="G212" s="534"/>
    </row>
    <row r="213" s="125" customFormat="1" ht="22" customHeight="1" spans="1:7">
      <c r="A213" s="510" t="s">
        <v>423</v>
      </c>
      <c r="B213" s="510">
        <v>125</v>
      </c>
      <c r="C213" s="510"/>
      <c r="D213" s="236"/>
      <c r="E213" s="100">
        <v>6</v>
      </c>
      <c r="F213" s="534">
        <f t="shared" si="22"/>
        <v>-95.2</v>
      </c>
      <c r="G213" s="534" t="e">
        <f t="shared" si="27"/>
        <v>#DIV/0!</v>
      </c>
    </row>
    <row r="214" s="529" customFormat="1" ht="22" customHeight="1" spans="1:7">
      <c r="A214" s="531" t="s">
        <v>424</v>
      </c>
      <c r="B214" s="531">
        <f>SUM(B215:B217)</f>
        <v>92115</v>
      </c>
      <c r="C214" s="531">
        <f>SUM(C215:C217)</f>
        <v>3244</v>
      </c>
      <c r="D214" s="531">
        <f>SUM(D215:D217)</f>
        <v>3986</v>
      </c>
      <c r="E214" s="531">
        <f>SUM(E215:E217)</f>
        <v>109175</v>
      </c>
      <c r="F214" s="534">
        <f t="shared" si="22"/>
        <v>18.52</v>
      </c>
      <c r="G214" s="534">
        <f t="shared" si="27"/>
        <v>2738.96</v>
      </c>
    </row>
    <row r="215" customFormat="1" ht="22" customHeight="1" spans="1:7">
      <c r="A215" s="510" t="s">
        <v>425</v>
      </c>
      <c r="B215" s="510">
        <v>3922</v>
      </c>
      <c r="C215" s="510">
        <v>3244</v>
      </c>
      <c r="D215" s="236">
        <v>3986</v>
      </c>
      <c r="E215" s="100">
        <v>4153</v>
      </c>
      <c r="F215" s="534">
        <f t="shared" si="22"/>
        <v>5.89</v>
      </c>
      <c r="G215" s="534">
        <f t="shared" si="27"/>
        <v>104.19</v>
      </c>
    </row>
    <row r="216" customFormat="1" ht="22" customHeight="1" spans="1:7">
      <c r="A216" s="510" t="s">
        <v>426</v>
      </c>
      <c r="B216" s="510">
        <v>86680</v>
      </c>
      <c r="C216" s="510"/>
      <c r="D216" s="236"/>
      <c r="E216" s="100">
        <v>102871</v>
      </c>
      <c r="F216" s="534">
        <f t="shared" si="22"/>
        <v>18.68</v>
      </c>
      <c r="G216" s="534" t="e">
        <f t="shared" si="27"/>
        <v>#DIV/0!</v>
      </c>
    </row>
    <row r="217" customFormat="1" ht="22" customHeight="1" spans="1:7">
      <c r="A217" s="510" t="s">
        <v>427</v>
      </c>
      <c r="B217" s="510">
        <v>1513</v>
      </c>
      <c r="C217" s="510"/>
      <c r="D217" s="236"/>
      <c r="E217" s="100">
        <v>2151</v>
      </c>
      <c r="F217" s="534">
        <f t="shared" si="22"/>
        <v>42.17</v>
      </c>
      <c r="G217" s="534" t="e">
        <f t="shared" si="27"/>
        <v>#DIV/0!</v>
      </c>
    </row>
    <row r="218" s="529" customFormat="1" ht="22" customHeight="1" spans="1:7">
      <c r="A218" s="531" t="s">
        <v>428</v>
      </c>
      <c r="B218" s="531">
        <v>32943</v>
      </c>
      <c r="C218" s="531">
        <v>1400</v>
      </c>
      <c r="D218" s="542">
        <v>2459</v>
      </c>
      <c r="E218" s="443">
        <v>14501</v>
      </c>
      <c r="F218" s="532">
        <f t="shared" si="22"/>
        <v>-55.98</v>
      </c>
      <c r="G218" s="532">
        <f t="shared" si="27"/>
        <v>589.71</v>
      </c>
    </row>
    <row r="219" s="527" customFormat="1" ht="20.1" customHeight="1" spans="1:7">
      <c r="A219" s="602" t="s">
        <v>429</v>
      </c>
      <c r="B219" s="531">
        <f>SUM(B220)</f>
        <v>3891</v>
      </c>
      <c r="C219" s="531">
        <f>SUM(C220)</f>
        <v>3157</v>
      </c>
      <c r="D219" s="531">
        <f>SUM(D220)</f>
        <v>6429</v>
      </c>
      <c r="E219" s="531">
        <f>SUM(E220)</f>
        <v>6554</v>
      </c>
      <c r="F219" s="532">
        <f t="shared" si="22"/>
        <v>68.44</v>
      </c>
      <c r="G219" s="532">
        <f t="shared" si="27"/>
        <v>101.94</v>
      </c>
    </row>
    <row r="220" s="360" customFormat="1" ht="20.1" customHeight="1" spans="1:7">
      <c r="A220" s="510" t="s">
        <v>430</v>
      </c>
      <c r="B220" s="510">
        <v>3891</v>
      </c>
      <c r="C220" s="510">
        <v>3157</v>
      </c>
      <c r="D220" s="236">
        <v>6429</v>
      </c>
      <c r="E220" s="100">
        <v>6554</v>
      </c>
      <c r="F220" s="534">
        <f t="shared" si="22"/>
        <v>68.44</v>
      </c>
      <c r="G220" s="534">
        <f t="shared" si="27"/>
        <v>101.94</v>
      </c>
    </row>
    <row r="221" s="527" customFormat="1" ht="20.1" customHeight="1" spans="1:7">
      <c r="A221" s="602" t="s">
        <v>431</v>
      </c>
      <c r="B221" s="531">
        <f>SUM(B222)</f>
        <v>52</v>
      </c>
      <c r="C221" s="531">
        <f>SUM(C222)</f>
        <v>0</v>
      </c>
      <c r="D221" s="531">
        <f>SUM(D222)</f>
        <v>2</v>
      </c>
      <c r="E221" s="531">
        <f>SUM(E222)</f>
        <v>17</v>
      </c>
      <c r="F221" s="532">
        <f t="shared" si="22"/>
        <v>-67.31</v>
      </c>
      <c r="G221" s="532">
        <f t="shared" si="27"/>
        <v>850</v>
      </c>
    </row>
    <row r="222" s="125" customFormat="1" ht="17" customHeight="1" spans="1:7">
      <c r="A222" s="601" t="s">
        <v>432</v>
      </c>
      <c r="B222" s="510">
        <v>52</v>
      </c>
      <c r="C222" s="510"/>
      <c r="D222" s="236">
        <v>2</v>
      </c>
      <c r="E222" s="100">
        <v>17</v>
      </c>
      <c r="F222" s="534"/>
      <c r="G222" s="534">
        <f t="shared" si="27"/>
        <v>850</v>
      </c>
    </row>
    <row r="223" customFormat="1" ht="20.1" customHeight="1" spans="1:7">
      <c r="A223" s="510"/>
      <c r="B223" s="510"/>
      <c r="C223" s="510"/>
      <c r="D223" s="236"/>
      <c r="E223" s="100"/>
      <c r="F223" s="534"/>
      <c r="G223" s="534"/>
    </row>
    <row r="224" customFormat="1" ht="20.1" customHeight="1" spans="1:7">
      <c r="A224" s="510"/>
      <c r="B224" s="510"/>
      <c r="C224" s="510"/>
      <c r="D224" s="236"/>
      <c r="E224" s="100"/>
      <c r="F224" s="534"/>
      <c r="G224" s="534"/>
    </row>
    <row r="225" s="359" customFormat="1" ht="20.1" customHeight="1" spans="1:7">
      <c r="A225" s="543" t="s">
        <v>433</v>
      </c>
      <c r="B225" s="542">
        <f>B4+B34+B37+B40+B52+B63+B74+B81+B103+B118+B134+B141+B150+B158+B166+B170+B176+B186+B192+B196+B201+B210+B219+B221+B211+B214+B218</f>
        <v>451499</v>
      </c>
      <c r="C225" s="542">
        <f>C4+C34+C37+C40+C52+C63+C74+C81+C103+C118+C134+C141+C150+C158+C166+C170+C176+C186+C192+C196+C201+C210+C219+C221+C211+C214+C218</f>
        <v>342967</v>
      </c>
      <c r="D225" s="542">
        <f>D4+D34+D37+D40+D52+D63+D74+D81+D103+D118+D134+D141+D150+D158+D166+D170+D176+D186+D192+D196+D201+D210+D219+D221+D211+D214+D218</f>
        <v>393687</v>
      </c>
      <c r="E225" s="542">
        <f>E4+E34+E37+E40+E52+E63+E74+E81+E103+E118+E134+E141+E150+E158+E166+E170+E176+E186+E192+E196+E201+E210+E219+E221+E211+E214+E218</f>
        <v>451023</v>
      </c>
      <c r="F225" s="532">
        <f>IF(B225=0,,SUM(E225-B225)/B225*100)</f>
        <v>-0.11</v>
      </c>
      <c r="G225" s="532">
        <f>E225/D225*100</f>
        <v>114.56</v>
      </c>
    </row>
    <row r="227" s="125" customFormat="1" spans="5:5">
      <c r="E227" s="544"/>
    </row>
  </sheetData>
  <mergeCells count="1">
    <mergeCell ref="A1:G1"/>
  </mergeCells>
  <pageMargins left="0.708661417322835" right="0.708661417322835" top="0.748031496062992" bottom="0.748031496062992" header="0.31496062992126" footer="0.31496062992126"/>
  <pageSetup paperSize="9" scale="77" fitToHeight="100" orientation="portrait" blackAndWhite="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6"/>
  <sheetViews>
    <sheetView showZeros="0" zoomScaleSheetLayoutView="60" workbookViewId="0">
      <pane xSplit="4" ySplit="6" topLeftCell="E7" activePane="bottomRight" state="frozen"/>
      <selection/>
      <selection pane="topRight"/>
      <selection pane="bottomLeft"/>
      <selection pane="bottomRight" activeCell="C16" sqref="C16"/>
    </sheetView>
  </sheetViews>
  <sheetFormatPr defaultColWidth="9.125" defaultRowHeight="12.5"/>
  <cols>
    <col min="1" max="1" width="9" style="196" customWidth="1"/>
    <col min="2" max="2" width="31.125" style="196" customWidth="1"/>
    <col min="3" max="3" width="11.125" style="196" customWidth="1"/>
    <col min="4" max="18" width="9" style="196" customWidth="1"/>
    <col min="19" max="19" width="8.175" style="196" customWidth="1"/>
    <col min="20" max="220" width="9.125" style="196" customWidth="1"/>
    <col min="221" max="16384" width="9.125" style="196"/>
  </cols>
  <sheetData>
    <row r="1" s="196" customFormat="1" ht="30" customHeight="1" spans="1:19">
      <c r="A1" s="604" t="s">
        <v>434</v>
      </c>
      <c r="B1" s="94"/>
      <c r="C1" s="492"/>
      <c r="D1" s="94"/>
      <c r="E1" s="94"/>
      <c r="F1" s="94"/>
      <c r="G1" s="94"/>
      <c r="H1" s="94"/>
      <c r="I1" s="94"/>
      <c r="J1" s="94"/>
      <c r="K1" s="94"/>
      <c r="L1" s="94"/>
      <c r="M1" s="94"/>
      <c r="N1" s="94"/>
      <c r="O1" s="94"/>
      <c r="P1" s="94"/>
      <c r="Q1" s="94"/>
      <c r="R1" s="94"/>
      <c r="S1" s="94"/>
    </row>
    <row r="2" s="196" customFormat="1" ht="17.1" customHeight="1" spans="1:19">
      <c r="A2" s="493"/>
      <c r="B2" s="96"/>
      <c r="C2" s="96"/>
      <c r="D2" s="96"/>
      <c r="E2" s="96"/>
      <c r="F2" s="96"/>
      <c r="G2" s="96"/>
      <c r="H2" s="96"/>
      <c r="I2" s="96"/>
      <c r="J2" s="96"/>
      <c r="K2" s="96"/>
      <c r="L2" s="96"/>
      <c r="M2" s="96"/>
      <c r="N2" s="96"/>
      <c r="O2" s="96"/>
      <c r="P2" s="96"/>
      <c r="Q2" s="96"/>
      <c r="R2" s="96"/>
      <c r="S2" s="96" t="s">
        <v>51</v>
      </c>
    </row>
    <row r="3" s="196" customFormat="1" ht="20" customHeight="1" spans="1:19">
      <c r="A3" s="494" t="s">
        <v>435</v>
      </c>
      <c r="B3" s="494" t="s">
        <v>436</v>
      </c>
      <c r="C3" s="495" t="s">
        <v>437</v>
      </c>
      <c r="D3" s="97" t="s">
        <v>438</v>
      </c>
      <c r="E3" s="97"/>
      <c r="F3" s="97"/>
      <c r="G3" s="97"/>
      <c r="H3" s="97"/>
      <c r="I3" s="97"/>
      <c r="J3" s="97"/>
      <c r="K3" s="97"/>
      <c r="L3" s="97"/>
      <c r="M3" s="97"/>
      <c r="N3" s="97"/>
      <c r="O3" s="97"/>
      <c r="P3" s="605" t="s">
        <v>439</v>
      </c>
      <c r="Q3" s="606" t="s">
        <v>89</v>
      </c>
      <c r="R3" s="497" t="s">
        <v>440</v>
      </c>
      <c r="S3" s="497" t="s">
        <v>441</v>
      </c>
    </row>
    <row r="4" s="196" customFormat="1" ht="20" customHeight="1" spans="1:19">
      <c r="A4" s="97"/>
      <c r="B4" s="97"/>
      <c r="C4" s="496"/>
      <c r="D4" s="495" t="s">
        <v>442</v>
      </c>
      <c r="E4" s="497" t="s">
        <v>443</v>
      </c>
      <c r="F4" s="607" t="s">
        <v>444</v>
      </c>
      <c r="G4" s="608" t="s">
        <v>445</v>
      </c>
      <c r="H4" s="608" t="s">
        <v>446</v>
      </c>
      <c r="I4" s="497" t="s">
        <v>447</v>
      </c>
      <c r="J4" s="497" t="s">
        <v>448</v>
      </c>
      <c r="K4" s="608" t="s">
        <v>449</v>
      </c>
      <c r="L4" s="497" t="s">
        <v>450</v>
      </c>
      <c r="M4" s="497" t="s">
        <v>451</v>
      </c>
      <c r="N4" s="608" t="s">
        <v>452</v>
      </c>
      <c r="O4" s="497" t="s">
        <v>453</v>
      </c>
      <c r="P4" s="496"/>
      <c r="Q4" s="518"/>
      <c r="R4" s="496"/>
      <c r="S4" s="496"/>
    </row>
    <row r="5" s="196" customFormat="1" ht="20" customHeight="1" spans="1:19">
      <c r="A5" s="97"/>
      <c r="B5" s="97"/>
      <c r="C5" s="499"/>
      <c r="D5" s="500"/>
      <c r="E5" s="499"/>
      <c r="F5" s="501"/>
      <c r="G5" s="499"/>
      <c r="H5" s="499"/>
      <c r="I5" s="499"/>
      <c r="J5" s="499"/>
      <c r="K5" s="499"/>
      <c r="L5" s="499"/>
      <c r="M5" s="499"/>
      <c r="N5" s="499"/>
      <c r="O5" s="499"/>
      <c r="P5" s="499"/>
      <c r="Q5" s="497"/>
      <c r="R5" s="499"/>
      <c r="S5" s="499"/>
    </row>
    <row r="6" s="403" customFormat="1" ht="16.9" customHeight="1" spans="1:19">
      <c r="A6" s="502"/>
      <c r="B6" s="503" t="s">
        <v>454</v>
      </c>
      <c r="C6" s="443">
        <f t="shared" ref="C6:S6" si="0">SUM(C7,C37,C40,C43,C55,C66,C77,C84,C106,C121,C137,C144,C153,C161,C169,C173,C177,C187,C193,C197,C211,C223,C225,C212,C202,C215,C219)</f>
        <v>342967</v>
      </c>
      <c r="D6" s="443">
        <f t="shared" si="0"/>
        <v>108056</v>
      </c>
      <c r="E6" s="443">
        <f t="shared" si="0"/>
        <v>-210</v>
      </c>
      <c r="F6" s="443">
        <f t="shared" si="0"/>
        <v>92239</v>
      </c>
      <c r="G6" s="443">
        <f t="shared" si="0"/>
        <v>526</v>
      </c>
      <c r="H6" s="443">
        <f t="shared" si="0"/>
        <v>0</v>
      </c>
      <c r="I6" s="443">
        <f t="shared" si="0"/>
        <v>0</v>
      </c>
      <c r="J6" s="513">
        <f t="shared" si="0"/>
        <v>0</v>
      </c>
      <c r="K6" s="443">
        <f t="shared" si="0"/>
        <v>-2374</v>
      </c>
      <c r="L6" s="443">
        <f t="shared" si="0"/>
        <v>13978</v>
      </c>
      <c r="M6" s="443">
        <f t="shared" si="0"/>
        <v>0</v>
      </c>
      <c r="N6" s="443">
        <f t="shared" si="0"/>
        <v>-7952</v>
      </c>
      <c r="O6" s="443">
        <f t="shared" si="0"/>
        <v>11849</v>
      </c>
      <c r="P6" s="443">
        <f t="shared" si="0"/>
        <v>451023</v>
      </c>
      <c r="Q6" s="443">
        <f t="shared" si="0"/>
        <v>451023</v>
      </c>
      <c r="R6" s="443">
        <f t="shared" si="0"/>
        <v>102871</v>
      </c>
      <c r="S6" s="443">
        <f t="shared" si="0"/>
        <v>102871</v>
      </c>
    </row>
    <row r="7" s="403" customFormat="1" ht="16.9" customHeight="1" spans="1:19">
      <c r="A7" s="504" t="s">
        <v>455</v>
      </c>
      <c r="B7" s="505" t="s">
        <v>221</v>
      </c>
      <c r="C7" s="443">
        <f t="shared" ref="C7:R7" si="1">SUM(C8:C36)</f>
        <v>21927</v>
      </c>
      <c r="D7" s="443">
        <f t="shared" si="1"/>
        <v>-698</v>
      </c>
      <c r="E7" s="443">
        <f t="shared" si="1"/>
        <v>0</v>
      </c>
      <c r="F7" s="443">
        <f t="shared" si="1"/>
        <v>-634</v>
      </c>
      <c r="G7" s="443">
        <f t="shared" si="1"/>
        <v>0</v>
      </c>
      <c r="H7" s="443">
        <f t="shared" si="1"/>
        <v>0</v>
      </c>
      <c r="I7" s="443">
        <f t="shared" si="1"/>
        <v>0</v>
      </c>
      <c r="J7" s="443">
        <f t="shared" si="1"/>
        <v>0</v>
      </c>
      <c r="K7" s="443">
        <f t="shared" si="1"/>
        <v>0</v>
      </c>
      <c r="L7" s="443">
        <f t="shared" si="1"/>
        <v>0</v>
      </c>
      <c r="M7" s="443">
        <f t="shared" si="1"/>
        <v>0</v>
      </c>
      <c r="N7" s="443">
        <f t="shared" si="1"/>
        <v>0</v>
      </c>
      <c r="O7" s="443">
        <f t="shared" si="1"/>
        <v>-64</v>
      </c>
      <c r="P7" s="443">
        <f t="shared" si="1"/>
        <v>21229</v>
      </c>
      <c r="Q7" s="443">
        <f t="shared" si="1"/>
        <v>20055</v>
      </c>
      <c r="R7" s="443">
        <f t="shared" si="1"/>
        <v>1174</v>
      </c>
      <c r="S7" s="443">
        <f t="shared" ref="S7:S70" si="2">R7</f>
        <v>1174</v>
      </c>
    </row>
    <row r="8" s="196" customFormat="1" ht="16.9" customHeight="1" spans="1:19">
      <c r="A8" s="183" t="s">
        <v>456</v>
      </c>
      <c r="B8" s="182" t="s">
        <v>222</v>
      </c>
      <c r="C8" s="36">
        <v>1186</v>
      </c>
      <c r="D8" s="100">
        <f t="shared" ref="D8:D36" si="3">SUM(E8:O8)</f>
        <v>-470</v>
      </c>
      <c r="E8" s="506"/>
      <c r="F8" s="100">
        <v>-470</v>
      </c>
      <c r="G8" s="506"/>
      <c r="H8" s="506"/>
      <c r="I8" s="514"/>
      <c r="J8" s="515"/>
      <c r="K8" s="516"/>
      <c r="L8" s="100"/>
      <c r="M8" s="100"/>
      <c r="N8" s="100"/>
      <c r="O8" s="100"/>
      <c r="P8" s="100">
        <f t="shared" ref="P8:P36" si="4">C8+D8</f>
        <v>716</v>
      </c>
      <c r="Q8" s="100">
        <v>640</v>
      </c>
      <c r="R8" s="100">
        <f t="shared" ref="R8:R71" si="5">P8-Q8</f>
        <v>76</v>
      </c>
      <c r="S8" s="443">
        <f t="shared" si="2"/>
        <v>76</v>
      </c>
    </row>
    <row r="9" s="196" customFormat="1" ht="16.9" customHeight="1" spans="1:19">
      <c r="A9" s="183" t="s">
        <v>457</v>
      </c>
      <c r="B9" s="182" t="s">
        <v>223</v>
      </c>
      <c r="C9" s="36">
        <v>360</v>
      </c>
      <c r="D9" s="100">
        <f t="shared" si="3"/>
        <v>-58</v>
      </c>
      <c r="E9" s="506"/>
      <c r="F9" s="100">
        <v>-58</v>
      </c>
      <c r="G9" s="506"/>
      <c r="H9" s="506"/>
      <c r="I9" s="514"/>
      <c r="J9" s="515"/>
      <c r="K9" s="516"/>
      <c r="L9" s="100"/>
      <c r="M9" s="100"/>
      <c r="N9" s="100"/>
      <c r="O9" s="100"/>
      <c r="P9" s="100">
        <f t="shared" si="4"/>
        <v>302</v>
      </c>
      <c r="Q9" s="100">
        <v>290</v>
      </c>
      <c r="R9" s="100">
        <f t="shared" si="5"/>
        <v>12</v>
      </c>
      <c r="S9" s="443">
        <f t="shared" si="2"/>
        <v>12</v>
      </c>
    </row>
    <row r="10" s="196" customFormat="1" ht="16.9" customHeight="1" spans="1:19">
      <c r="A10" s="183" t="s">
        <v>458</v>
      </c>
      <c r="B10" s="182" t="s">
        <v>224</v>
      </c>
      <c r="C10" s="36">
        <v>8098</v>
      </c>
      <c r="D10" s="100">
        <f t="shared" si="3"/>
        <v>-119</v>
      </c>
      <c r="E10" s="506"/>
      <c r="F10" s="444">
        <f>-210+91</f>
        <v>-119</v>
      </c>
      <c r="G10" s="506"/>
      <c r="H10" s="506"/>
      <c r="I10" s="514"/>
      <c r="J10" s="515"/>
      <c r="K10" s="516"/>
      <c r="L10" s="100"/>
      <c r="M10" s="100"/>
      <c r="N10" s="100"/>
      <c r="O10" s="100"/>
      <c r="P10" s="100">
        <f t="shared" si="4"/>
        <v>7979</v>
      </c>
      <c r="Q10" s="100">
        <v>7979</v>
      </c>
      <c r="R10" s="100">
        <f t="shared" si="5"/>
        <v>0</v>
      </c>
      <c r="S10" s="443">
        <f t="shared" si="2"/>
        <v>0</v>
      </c>
    </row>
    <row r="11" s="196" customFormat="1" ht="16.9" customHeight="1" spans="1:19">
      <c r="A11" s="183" t="s">
        <v>459</v>
      </c>
      <c r="B11" s="182" t="s">
        <v>225</v>
      </c>
      <c r="C11" s="36">
        <v>463</v>
      </c>
      <c r="D11" s="100">
        <f t="shared" si="3"/>
        <v>-88</v>
      </c>
      <c r="E11" s="506"/>
      <c r="F11" s="100">
        <v>-8</v>
      </c>
      <c r="G11" s="506"/>
      <c r="H11" s="506"/>
      <c r="I11" s="514"/>
      <c r="J11" s="515"/>
      <c r="K11" s="516"/>
      <c r="L11" s="100"/>
      <c r="M11" s="100"/>
      <c r="N11" s="100"/>
      <c r="O11" s="100">
        <v>-80</v>
      </c>
      <c r="P11" s="100">
        <f t="shared" si="4"/>
        <v>375</v>
      </c>
      <c r="Q11" s="100">
        <v>375</v>
      </c>
      <c r="R11" s="100">
        <f t="shared" si="5"/>
        <v>0</v>
      </c>
      <c r="S11" s="443">
        <f t="shared" si="2"/>
        <v>0</v>
      </c>
    </row>
    <row r="12" s="196" customFormat="1" ht="16.9" customHeight="1" spans="1:19">
      <c r="A12" s="183" t="s">
        <v>460</v>
      </c>
      <c r="B12" s="182" t="s">
        <v>226</v>
      </c>
      <c r="C12" s="36">
        <v>396</v>
      </c>
      <c r="D12" s="100">
        <f t="shared" si="3"/>
        <v>0</v>
      </c>
      <c r="E12" s="506"/>
      <c r="F12" s="445"/>
      <c r="G12" s="506"/>
      <c r="H12" s="506"/>
      <c r="I12" s="514"/>
      <c r="J12" s="515"/>
      <c r="K12" s="516"/>
      <c r="L12" s="100"/>
      <c r="M12" s="100"/>
      <c r="N12" s="100"/>
      <c r="O12" s="100"/>
      <c r="P12" s="100">
        <f t="shared" si="4"/>
        <v>396</v>
      </c>
      <c r="Q12" s="100">
        <v>385</v>
      </c>
      <c r="R12" s="100">
        <f t="shared" si="5"/>
        <v>11</v>
      </c>
      <c r="S12" s="443">
        <f t="shared" si="2"/>
        <v>11</v>
      </c>
    </row>
    <row r="13" s="196" customFormat="1" ht="16.9" customHeight="1" spans="1:19">
      <c r="A13" s="183" t="s">
        <v>461</v>
      </c>
      <c r="B13" s="182" t="s">
        <v>227</v>
      </c>
      <c r="C13" s="36">
        <v>1419</v>
      </c>
      <c r="D13" s="100">
        <f t="shared" si="3"/>
        <v>-135</v>
      </c>
      <c r="E13" s="506"/>
      <c r="F13" s="100">
        <v>-135</v>
      </c>
      <c r="G13" s="506"/>
      <c r="H13" s="506"/>
      <c r="I13" s="514"/>
      <c r="J13" s="515"/>
      <c r="K13" s="516"/>
      <c r="L13" s="100"/>
      <c r="M13" s="100"/>
      <c r="N13" s="100"/>
      <c r="O13" s="100"/>
      <c r="P13" s="100">
        <f t="shared" si="4"/>
        <v>1284</v>
      </c>
      <c r="Q13" s="100">
        <v>1260</v>
      </c>
      <c r="R13" s="100">
        <f t="shared" si="5"/>
        <v>24</v>
      </c>
      <c r="S13" s="443">
        <f t="shared" si="2"/>
        <v>24</v>
      </c>
    </row>
    <row r="14" s="196" customFormat="1" ht="16.9" customHeight="1" spans="1:19">
      <c r="A14" s="183" t="s">
        <v>462</v>
      </c>
      <c r="B14" s="182" t="s">
        <v>228</v>
      </c>
      <c r="C14" s="36">
        <v>237</v>
      </c>
      <c r="D14" s="100">
        <f t="shared" si="3"/>
        <v>431</v>
      </c>
      <c r="E14" s="506"/>
      <c r="F14" s="507">
        <v>431</v>
      </c>
      <c r="G14" s="506"/>
      <c r="H14" s="506"/>
      <c r="I14" s="506"/>
      <c r="J14" s="100"/>
      <c r="K14" s="100"/>
      <c r="L14" s="100"/>
      <c r="M14" s="100"/>
      <c r="N14" s="100"/>
      <c r="O14" s="100"/>
      <c r="P14" s="100">
        <f t="shared" si="4"/>
        <v>668</v>
      </c>
      <c r="Q14" s="100">
        <v>668</v>
      </c>
      <c r="R14" s="100">
        <f t="shared" si="5"/>
        <v>0</v>
      </c>
      <c r="S14" s="443">
        <f t="shared" si="2"/>
        <v>0</v>
      </c>
    </row>
    <row r="15" s="196" customFormat="1" ht="16.9" customHeight="1" spans="1:19">
      <c r="A15" s="183" t="s">
        <v>463</v>
      </c>
      <c r="B15" s="182" t="s">
        <v>229</v>
      </c>
      <c r="C15" s="36">
        <v>201</v>
      </c>
      <c r="D15" s="100">
        <f t="shared" si="3"/>
        <v>17</v>
      </c>
      <c r="E15" s="506"/>
      <c r="F15" s="507">
        <v>17</v>
      </c>
      <c r="G15" s="506"/>
      <c r="H15" s="506"/>
      <c r="I15" s="506"/>
      <c r="J15" s="100"/>
      <c r="K15" s="100"/>
      <c r="L15" s="100"/>
      <c r="M15" s="100"/>
      <c r="N15" s="100"/>
      <c r="O15" s="100"/>
      <c r="P15" s="100">
        <f t="shared" si="4"/>
        <v>218</v>
      </c>
      <c r="Q15" s="100">
        <v>216</v>
      </c>
      <c r="R15" s="100">
        <f t="shared" si="5"/>
        <v>2</v>
      </c>
      <c r="S15" s="443">
        <f t="shared" si="2"/>
        <v>2</v>
      </c>
    </row>
    <row r="16" s="196" customFormat="1" ht="16.9" customHeight="1" spans="1:19">
      <c r="A16" s="183" t="s">
        <v>464</v>
      </c>
      <c r="B16" s="182" t="s">
        <v>230</v>
      </c>
      <c r="C16" s="36"/>
      <c r="D16" s="100">
        <f t="shared" si="3"/>
        <v>0</v>
      </c>
      <c r="E16" s="506"/>
      <c r="F16" s="507"/>
      <c r="G16" s="506"/>
      <c r="H16" s="506"/>
      <c r="I16" s="506"/>
      <c r="J16" s="100"/>
      <c r="K16" s="100"/>
      <c r="L16" s="100"/>
      <c r="M16" s="100"/>
      <c r="N16" s="100"/>
      <c r="O16" s="100"/>
      <c r="P16" s="100">
        <f t="shared" si="4"/>
        <v>0</v>
      </c>
      <c r="Q16" s="100"/>
      <c r="R16" s="100">
        <f t="shared" si="5"/>
        <v>0</v>
      </c>
      <c r="S16" s="443">
        <f t="shared" si="2"/>
        <v>0</v>
      </c>
    </row>
    <row r="17" s="196" customFormat="1" ht="16.9" customHeight="1" spans="1:19">
      <c r="A17" s="183" t="s">
        <v>465</v>
      </c>
      <c r="B17" s="182" t="s">
        <v>231</v>
      </c>
      <c r="C17" s="36"/>
      <c r="D17" s="100">
        <f t="shared" si="3"/>
        <v>0</v>
      </c>
      <c r="E17" s="506"/>
      <c r="F17" s="507"/>
      <c r="G17" s="506"/>
      <c r="H17" s="506"/>
      <c r="I17" s="506"/>
      <c r="J17" s="100"/>
      <c r="K17" s="100"/>
      <c r="L17" s="100"/>
      <c r="M17" s="100"/>
      <c r="N17" s="100"/>
      <c r="O17" s="100"/>
      <c r="P17" s="100">
        <f t="shared" si="4"/>
        <v>0</v>
      </c>
      <c r="Q17" s="100"/>
      <c r="R17" s="100">
        <f t="shared" si="5"/>
        <v>0</v>
      </c>
      <c r="S17" s="443">
        <f t="shared" si="2"/>
        <v>0</v>
      </c>
    </row>
    <row r="18" s="196" customFormat="1" ht="16.9" customHeight="1" spans="1:19">
      <c r="A18" s="183" t="s">
        <v>466</v>
      </c>
      <c r="B18" s="182" t="s">
        <v>232</v>
      </c>
      <c r="C18" s="36">
        <v>1443</v>
      </c>
      <c r="D18" s="100">
        <f t="shared" si="3"/>
        <v>79</v>
      </c>
      <c r="E18" s="506"/>
      <c r="F18" s="507">
        <v>65</v>
      </c>
      <c r="G18" s="506"/>
      <c r="H18" s="506"/>
      <c r="I18" s="506"/>
      <c r="J18" s="100"/>
      <c r="K18" s="100"/>
      <c r="L18" s="100"/>
      <c r="M18" s="100"/>
      <c r="N18" s="100"/>
      <c r="O18" s="100">
        <v>14</v>
      </c>
      <c r="P18" s="100">
        <f t="shared" si="4"/>
        <v>1522</v>
      </c>
      <c r="Q18" s="100">
        <v>1513</v>
      </c>
      <c r="R18" s="100">
        <f t="shared" si="5"/>
        <v>9</v>
      </c>
      <c r="S18" s="443">
        <f t="shared" si="2"/>
        <v>9</v>
      </c>
    </row>
    <row r="19" s="196" customFormat="1" ht="16.9" customHeight="1" spans="1:19">
      <c r="A19" s="183" t="s">
        <v>467</v>
      </c>
      <c r="B19" s="182" t="s">
        <v>233</v>
      </c>
      <c r="C19" s="36">
        <v>90</v>
      </c>
      <c r="D19" s="100">
        <f t="shared" si="3"/>
        <v>27</v>
      </c>
      <c r="E19" s="506"/>
      <c r="F19" s="507">
        <v>27</v>
      </c>
      <c r="G19" s="506"/>
      <c r="H19" s="506"/>
      <c r="I19" s="506"/>
      <c r="J19" s="100"/>
      <c r="K19" s="100"/>
      <c r="L19" s="100"/>
      <c r="M19" s="100"/>
      <c r="N19" s="100"/>
      <c r="O19" s="100"/>
      <c r="P19" s="100">
        <f t="shared" si="4"/>
        <v>117</v>
      </c>
      <c r="Q19" s="100">
        <v>117</v>
      </c>
      <c r="R19" s="100">
        <f t="shared" si="5"/>
        <v>0</v>
      </c>
      <c r="S19" s="443">
        <f t="shared" si="2"/>
        <v>0</v>
      </c>
    </row>
    <row r="20" s="196" customFormat="1" ht="16.9" customHeight="1" spans="1:19">
      <c r="A20" s="183" t="s">
        <v>468</v>
      </c>
      <c r="B20" s="182" t="s">
        <v>234</v>
      </c>
      <c r="C20" s="36"/>
      <c r="D20" s="100">
        <f t="shared" si="3"/>
        <v>0</v>
      </c>
      <c r="E20" s="506"/>
      <c r="F20" s="507"/>
      <c r="G20" s="506"/>
      <c r="H20" s="506"/>
      <c r="I20" s="506"/>
      <c r="J20" s="100"/>
      <c r="K20" s="100"/>
      <c r="L20" s="100"/>
      <c r="M20" s="100"/>
      <c r="N20" s="100"/>
      <c r="O20" s="100"/>
      <c r="P20" s="100">
        <f t="shared" si="4"/>
        <v>0</v>
      </c>
      <c r="Q20" s="100"/>
      <c r="R20" s="100">
        <f t="shared" si="5"/>
        <v>0</v>
      </c>
      <c r="S20" s="443">
        <f t="shared" si="2"/>
        <v>0</v>
      </c>
    </row>
    <row r="21" s="196" customFormat="1" ht="16.9" customHeight="1" spans="1:19">
      <c r="A21" s="183" t="s">
        <v>469</v>
      </c>
      <c r="B21" s="182" t="s">
        <v>235</v>
      </c>
      <c r="C21" s="36">
        <v>226</v>
      </c>
      <c r="D21" s="100">
        <f t="shared" si="3"/>
        <v>-59</v>
      </c>
      <c r="E21" s="506"/>
      <c r="F21" s="100">
        <v>-59</v>
      </c>
      <c r="G21" s="506"/>
      <c r="H21" s="506"/>
      <c r="I21" s="506"/>
      <c r="J21" s="100"/>
      <c r="K21" s="100"/>
      <c r="L21" s="100"/>
      <c r="M21" s="100"/>
      <c r="N21" s="100"/>
      <c r="O21" s="100"/>
      <c r="P21" s="100">
        <f t="shared" si="4"/>
        <v>167</v>
      </c>
      <c r="Q21" s="100">
        <v>127</v>
      </c>
      <c r="R21" s="100">
        <f t="shared" si="5"/>
        <v>40</v>
      </c>
      <c r="S21" s="443">
        <f t="shared" si="2"/>
        <v>40</v>
      </c>
    </row>
    <row r="22" s="196" customFormat="1" ht="16.9" customHeight="1" spans="1:19">
      <c r="A22" s="183" t="s">
        <v>470</v>
      </c>
      <c r="B22" s="182" t="s">
        <v>236</v>
      </c>
      <c r="C22" s="36"/>
      <c r="D22" s="100">
        <f t="shared" si="3"/>
        <v>0</v>
      </c>
      <c r="E22" s="506"/>
      <c r="F22" s="100"/>
      <c r="G22" s="506"/>
      <c r="H22" s="506"/>
      <c r="I22" s="506"/>
      <c r="J22" s="100"/>
      <c r="K22" s="100"/>
      <c r="L22" s="100"/>
      <c r="M22" s="100"/>
      <c r="N22" s="100"/>
      <c r="O22" s="100"/>
      <c r="P22" s="100">
        <f t="shared" si="4"/>
        <v>0</v>
      </c>
      <c r="Q22" s="100"/>
      <c r="R22" s="100">
        <f t="shared" si="5"/>
        <v>0</v>
      </c>
      <c r="S22" s="443">
        <f t="shared" si="2"/>
        <v>0</v>
      </c>
    </row>
    <row r="23" s="196" customFormat="1" ht="16.9" customHeight="1" spans="1:19">
      <c r="A23" s="183" t="s">
        <v>471</v>
      </c>
      <c r="B23" s="182" t="s">
        <v>237</v>
      </c>
      <c r="C23" s="36">
        <v>108</v>
      </c>
      <c r="D23" s="100">
        <f t="shared" si="3"/>
        <v>-18</v>
      </c>
      <c r="E23" s="506"/>
      <c r="F23" s="100">
        <f>-24+6</f>
        <v>-18</v>
      </c>
      <c r="G23" s="506"/>
      <c r="H23" s="506"/>
      <c r="I23" s="506"/>
      <c r="J23" s="100"/>
      <c r="K23" s="100"/>
      <c r="L23" s="100"/>
      <c r="M23" s="100"/>
      <c r="N23" s="100"/>
      <c r="O23" s="100"/>
      <c r="P23" s="100">
        <f t="shared" si="4"/>
        <v>90</v>
      </c>
      <c r="Q23" s="100">
        <v>90</v>
      </c>
      <c r="R23" s="100">
        <f t="shared" si="5"/>
        <v>0</v>
      </c>
      <c r="S23" s="443">
        <f t="shared" si="2"/>
        <v>0</v>
      </c>
    </row>
    <row r="24" s="196" customFormat="1" ht="16.9" customHeight="1" spans="1:19">
      <c r="A24" s="183" t="s">
        <v>472</v>
      </c>
      <c r="B24" s="182" t="s">
        <v>238</v>
      </c>
      <c r="C24" s="36">
        <v>42</v>
      </c>
      <c r="D24" s="100">
        <f t="shared" si="3"/>
        <v>1</v>
      </c>
      <c r="E24" s="506"/>
      <c r="F24" s="507">
        <v>1</v>
      </c>
      <c r="G24" s="506"/>
      <c r="H24" s="506"/>
      <c r="I24" s="506"/>
      <c r="J24" s="100"/>
      <c r="K24" s="100"/>
      <c r="L24" s="100"/>
      <c r="M24" s="100"/>
      <c r="N24" s="100"/>
      <c r="O24" s="100"/>
      <c r="P24" s="100">
        <f t="shared" si="4"/>
        <v>43</v>
      </c>
      <c r="Q24" s="100">
        <v>43</v>
      </c>
      <c r="R24" s="100">
        <f t="shared" si="5"/>
        <v>0</v>
      </c>
      <c r="S24" s="443">
        <f t="shared" si="2"/>
        <v>0</v>
      </c>
    </row>
    <row r="25" s="196" customFormat="1" ht="16.9" customHeight="1" spans="1:19">
      <c r="A25" s="183" t="s">
        <v>473</v>
      </c>
      <c r="B25" s="182" t="s">
        <v>239</v>
      </c>
      <c r="C25" s="36">
        <v>467</v>
      </c>
      <c r="D25" s="100">
        <f t="shared" si="3"/>
        <v>427</v>
      </c>
      <c r="E25" s="506"/>
      <c r="F25" s="507">
        <v>426</v>
      </c>
      <c r="G25" s="506"/>
      <c r="H25" s="506"/>
      <c r="I25" s="506"/>
      <c r="J25" s="100"/>
      <c r="K25" s="100"/>
      <c r="L25" s="100"/>
      <c r="M25" s="100"/>
      <c r="N25" s="100"/>
      <c r="O25" s="100">
        <v>1</v>
      </c>
      <c r="P25" s="100">
        <f t="shared" si="4"/>
        <v>894</v>
      </c>
      <c r="Q25" s="100">
        <v>668</v>
      </c>
      <c r="R25" s="100">
        <f t="shared" si="5"/>
        <v>226</v>
      </c>
      <c r="S25" s="443">
        <f t="shared" si="2"/>
        <v>226</v>
      </c>
    </row>
    <row r="26" s="196" customFormat="1" ht="16.9" customHeight="1" spans="1:19">
      <c r="A26" s="183" t="s">
        <v>474</v>
      </c>
      <c r="B26" s="182" t="s">
        <v>240</v>
      </c>
      <c r="C26" s="36">
        <v>539</v>
      </c>
      <c r="D26" s="100">
        <f t="shared" si="3"/>
        <v>82</v>
      </c>
      <c r="E26" s="506"/>
      <c r="F26" s="507">
        <v>82</v>
      </c>
      <c r="G26" s="506"/>
      <c r="H26" s="506"/>
      <c r="I26" s="506"/>
      <c r="J26" s="100"/>
      <c r="K26" s="100"/>
      <c r="L26" s="100"/>
      <c r="M26" s="100"/>
      <c r="N26" s="100"/>
      <c r="O26" s="100"/>
      <c r="P26" s="100">
        <f t="shared" si="4"/>
        <v>621</v>
      </c>
      <c r="Q26" s="100">
        <v>564</v>
      </c>
      <c r="R26" s="100">
        <f t="shared" si="5"/>
        <v>57</v>
      </c>
      <c r="S26" s="443">
        <f t="shared" si="2"/>
        <v>57</v>
      </c>
    </row>
    <row r="27" s="196" customFormat="1" ht="16.9" customHeight="1" spans="1:19">
      <c r="A27" s="183" t="s">
        <v>475</v>
      </c>
      <c r="B27" s="182" t="s">
        <v>241</v>
      </c>
      <c r="C27" s="36">
        <v>2235</v>
      </c>
      <c r="D27" s="100">
        <f t="shared" si="3"/>
        <v>-625</v>
      </c>
      <c r="E27" s="506"/>
      <c r="F27" s="100">
        <v>-626</v>
      </c>
      <c r="G27" s="506"/>
      <c r="H27" s="506"/>
      <c r="I27" s="506"/>
      <c r="J27" s="100"/>
      <c r="K27" s="100"/>
      <c r="L27" s="100"/>
      <c r="M27" s="100"/>
      <c r="N27" s="100"/>
      <c r="O27" s="100">
        <v>1</v>
      </c>
      <c r="P27" s="100">
        <f t="shared" si="4"/>
        <v>1610</v>
      </c>
      <c r="Q27" s="100">
        <v>954</v>
      </c>
      <c r="R27" s="100">
        <f t="shared" si="5"/>
        <v>656</v>
      </c>
      <c r="S27" s="443">
        <f t="shared" si="2"/>
        <v>656</v>
      </c>
    </row>
    <row r="28" s="196" customFormat="1" ht="16.9" customHeight="1" spans="1:19">
      <c r="A28" s="183" t="s">
        <v>476</v>
      </c>
      <c r="B28" s="182" t="s">
        <v>242</v>
      </c>
      <c r="C28" s="36">
        <v>187</v>
      </c>
      <c r="D28" s="100">
        <f t="shared" si="3"/>
        <v>8</v>
      </c>
      <c r="E28" s="506"/>
      <c r="F28" s="507">
        <v>8</v>
      </c>
      <c r="G28" s="506"/>
      <c r="H28" s="506"/>
      <c r="I28" s="506"/>
      <c r="J28" s="100"/>
      <c r="K28" s="100"/>
      <c r="L28" s="100"/>
      <c r="M28" s="100"/>
      <c r="N28" s="100"/>
      <c r="O28" s="100"/>
      <c r="P28" s="100">
        <f t="shared" si="4"/>
        <v>195</v>
      </c>
      <c r="Q28" s="100">
        <v>195</v>
      </c>
      <c r="R28" s="100">
        <f t="shared" si="5"/>
        <v>0</v>
      </c>
      <c r="S28" s="443">
        <f t="shared" si="2"/>
        <v>0</v>
      </c>
    </row>
    <row r="29" s="196" customFormat="1" ht="17.1" customHeight="1" spans="1:19">
      <c r="A29" s="183" t="s">
        <v>477</v>
      </c>
      <c r="B29" s="182" t="s">
        <v>243</v>
      </c>
      <c r="C29" s="508">
        <v>586</v>
      </c>
      <c r="D29" s="100">
        <f t="shared" si="3"/>
        <v>-324</v>
      </c>
      <c r="E29" s="506"/>
      <c r="F29" s="100">
        <v>-324</v>
      </c>
      <c r="G29" s="506"/>
      <c r="H29" s="506"/>
      <c r="I29" s="506"/>
      <c r="J29" s="100"/>
      <c r="K29" s="100"/>
      <c r="L29" s="100"/>
      <c r="M29" s="100"/>
      <c r="N29" s="100"/>
      <c r="O29" s="100"/>
      <c r="P29" s="100">
        <f t="shared" si="4"/>
        <v>262</v>
      </c>
      <c r="Q29" s="100">
        <v>256</v>
      </c>
      <c r="R29" s="100">
        <f t="shared" si="5"/>
        <v>6</v>
      </c>
      <c r="S29" s="443">
        <f t="shared" si="2"/>
        <v>6</v>
      </c>
    </row>
    <row r="30" s="196" customFormat="1" ht="17.1" customHeight="1" spans="1:19">
      <c r="A30" s="183" t="s">
        <v>478</v>
      </c>
      <c r="B30" s="182" t="s">
        <v>244</v>
      </c>
      <c r="C30" s="509"/>
      <c r="D30" s="100">
        <f t="shared" si="3"/>
        <v>0</v>
      </c>
      <c r="E30" s="506"/>
      <c r="F30" s="100"/>
      <c r="G30" s="506"/>
      <c r="H30" s="506"/>
      <c r="I30" s="506"/>
      <c r="J30" s="100"/>
      <c r="K30" s="100"/>
      <c r="L30" s="100"/>
      <c r="M30" s="100"/>
      <c r="N30" s="100"/>
      <c r="O30" s="100"/>
      <c r="P30" s="100">
        <f t="shared" si="4"/>
        <v>0</v>
      </c>
      <c r="Q30" s="100"/>
      <c r="R30" s="100">
        <f t="shared" si="5"/>
        <v>0</v>
      </c>
      <c r="S30" s="443">
        <f t="shared" si="2"/>
        <v>0</v>
      </c>
    </row>
    <row r="31" s="196" customFormat="1" ht="17.1" customHeight="1" spans="1:19">
      <c r="A31" s="183" t="s">
        <v>479</v>
      </c>
      <c r="B31" s="182" t="s">
        <v>245</v>
      </c>
      <c r="C31" s="508">
        <v>421</v>
      </c>
      <c r="D31" s="100">
        <f t="shared" si="3"/>
        <v>6</v>
      </c>
      <c r="E31" s="506"/>
      <c r="F31" s="100">
        <f>-19+25</f>
        <v>6</v>
      </c>
      <c r="G31" s="506"/>
      <c r="H31" s="506"/>
      <c r="I31" s="506"/>
      <c r="J31" s="100"/>
      <c r="K31" s="100"/>
      <c r="L31" s="100"/>
      <c r="M31" s="100"/>
      <c r="N31" s="100"/>
      <c r="O31" s="100"/>
      <c r="P31" s="100">
        <f t="shared" si="4"/>
        <v>427</v>
      </c>
      <c r="Q31" s="100">
        <v>427</v>
      </c>
      <c r="R31" s="100">
        <f t="shared" si="5"/>
        <v>0</v>
      </c>
      <c r="S31" s="443">
        <f t="shared" si="2"/>
        <v>0</v>
      </c>
    </row>
    <row r="32" s="196" customFormat="1" ht="17.1" customHeight="1" spans="1:19">
      <c r="A32" s="183" t="s">
        <v>480</v>
      </c>
      <c r="B32" s="182" t="s">
        <v>246</v>
      </c>
      <c r="C32" s="36"/>
      <c r="D32" s="100">
        <f t="shared" si="3"/>
        <v>0</v>
      </c>
      <c r="E32" s="506"/>
      <c r="F32" s="100"/>
      <c r="G32" s="506"/>
      <c r="H32" s="506"/>
      <c r="I32" s="506"/>
      <c r="J32" s="100"/>
      <c r="K32" s="100"/>
      <c r="L32" s="100"/>
      <c r="M32" s="100"/>
      <c r="N32" s="100"/>
      <c r="O32" s="100"/>
      <c r="P32" s="100">
        <f t="shared" si="4"/>
        <v>0</v>
      </c>
      <c r="Q32" s="100"/>
      <c r="R32" s="100">
        <f t="shared" si="5"/>
        <v>0</v>
      </c>
      <c r="S32" s="443">
        <f t="shared" si="2"/>
        <v>0</v>
      </c>
    </row>
    <row r="33" s="196" customFormat="1" ht="17.1" customHeight="1" spans="1:19">
      <c r="A33" s="183" t="s">
        <v>481</v>
      </c>
      <c r="B33" s="182" t="s">
        <v>247</v>
      </c>
      <c r="C33" s="36">
        <v>1668</v>
      </c>
      <c r="D33" s="100">
        <f t="shared" si="3"/>
        <v>-69</v>
      </c>
      <c r="E33" s="506"/>
      <c r="F33" s="100">
        <v>-69</v>
      </c>
      <c r="G33" s="506"/>
      <c r="H33" s="506"/>
      <c r="I33" s="506"/>
      <c r="J33" s="100"/>
      <c r="K33" s="100"/>
      <c r="L33" s="100"/>
      <c r="M33" s="100"/>
      <c r="N33" s="100"/>
      <c r="O33" s="100"/>
      <c r="P33" s="100">
        <f t="shared" si="4"/>
        <v>1599</v>
      </c>
      <c r="Q33" s="100">
        <v>1544</v>
      </c>
      <c r="R33" s="100">
        <f t="shared" si="5"/>
        <v>55</v>
      </c>
      <c r="S33" s="443">
        <f t="shared" si="2"/>
        <v>55</v>
      </c>
    </row>
    <row r="34" s="196" customFormat="1" ht="17.1" customHeight="1" spans="1:19">
      <c r="A34" s="183" t="s">
        <v>482</v>
      </c>
      <c r="B34" s="182" t="s">
        <v>248</v>
      </c>
      <c r="C34" s="36"/>
      <c r="D34" s="100">
        <f t="shared" si="3"/>
        <v>24</v>
      </c>
      <c r="E34" s="506"/>
      <c r="F34" s="507">
        <v>24</v>
      </c>
      <c r="G34" s="506"/>
      <c r="H34" s="506"/>
      <c r="I34" s="506"/>
      <c r="J34" s="100"/>
      <c r="K34" s="100"/>
      <c r="L34" s="100"/>
      <c r="M34" s="100"/>
      <c r="N34" s="100"/>
      <c r="O34" s="100"/>
      <c r="P34" s="100">
        <f t="shared" si="4"/>
        <v>24</v>
      </c>
      <c r="Q34" s="100">
        <v>24</v>
      </c>
      <c r="R34" s="100">
        <f t="shared" si="5"/>
        <v>0</v>
      </c>
      <c r="S34" s="443">
        <f t="shared" si="2"/>
        <v>0</v>
      </c>
    </row>
    <row r="35" s="196" customFormat="1" ht="17.1" customHeight="1" spans="1:19">
      <c r="A35" s="183" t="s">
        <v>483</v>
      </c>
      <c r="B35" s="182" t="s">
        <v>249</v>
      </c>
      <c r="C35" s="36">
        <v>147</v>
      </c>
      <c r="D35" s="100">
        <f t="shared" si="3"/>
        <v>4</v>
      </c>
      <c r="E35" s="506"/>
      <c r="F35" s="100">
        <f>-3+7</f>
        <v>4</v>
      </c>
      <c r="G35" s="506"/>
      <c r="H35" s="506"/>
      <c r="I35" s="506"/>
      <c r="J35" s="100"/>
      <c r="K35" s="100"/>
      <c r="L35" s="100"/>
      <c r="M35" s="100"/>
      <c r="N35" s="100"/>
      <c r="O35" s="100"/>
      <c r="P35" s="100">
        <f t="shared" si="4"/>
        <v>151</v>
      </c>
      <c r="Q35" s="100">
        <v>151</v>
      </c>
      <c r="R35" s="100">
        <f t="shared" si="5"/>
        <v>0</v>
      </c>
      <c r="S35" s="443">
        <f t="shared" si="2"/>
        <v>0</v>
      </c>
    </row>
    <row r="36" s="196" customFormat="1" ht="17.1" customHeight="1" spans="1:19">
      <c r="A36" s="183" t="s">
        <v>484</v>
      </c>
      <c r="B36" s="182" t="s">
        <v>250</v>
      </c>
      <c r="C36" s="36">
        <v>1408</v>
      </c>
      <c r="D36" s="100">
        <f t="shared" si="3"/>
        <v>161</v>
      </c>
      <c r="E36" s="506"/>
      <c r="F36" s="507">
        <f>147+14</f>
        <v>161</v>
      </c>
      <c r="G36" s="506"/>
      <c r="H36" s="506"/>
      <c r="I36" s="506"/>
      <c r="J36" s="100"/>
      <c r="K36" s="100"/>
      <c r="L36" s="100"/>
      <c r="M36" s="100"/>
      <c r="N36" s="100"/>
      <c r="O36" s="100"/>
      <c r="P36" s="100">
        <f t="shared" si="4"/>
        <v>1569</v>
      </c>
      <c r="Q36" s="100">
        <v>1569</v>
      </c>
      <c r="R36" s="100">
        <f t="shared" si="5"/>
        <v>0</v>
      </c>
      <c r="S36" s="443">
        <f t="shared" si="2"/>
        <v>0</v>
      </c>
    </row>
    <row r="37" s="403" customFormat="1" ht="16.9" customHeight="1" spans="1:19">
      <c r="A37" s="504" t="s">
        <v>485</v>
      </c>
      <c r="B37" s="505" t="s">
        <v>251</v>
      </c>
      <c r="C37" s="443">
        <f t="shared" ref="C37:I37" si="6">SUM(C38:C39)</f>
        <v>0</v>
      </c>
      <c r="D37" s="443">
        <f t="shared" si="6"/>
        <v>0</v>
      </c>
      <c r="E37" s="443">
        <f t="shared" si="6"/>
        <v>0</v>
      </c>
      <c r="F37" s="443"/>
      <c r="G37" s="443">
        <f t="shared" si="6"/>
        <v>0</v>
      </c>
      <c r="H37" s="443">
        <f t="shared" si="6"/>
        <v>0</v>
      </c>
      <c r="I37" s="443">
        <f t="shared" si="6"/>
        <v>0</v>
      </c>
      <c r="J37" s="443"/>
      <c r="K37" s="443">
        <f t="shared" ref="K37:Q37" si="7">SUM(K38:K39)</f>
        <v>0</v>
      </c>
      <c r="L37" s="443">
        <f t="shared" si="7"/>
        <v>0</v>
      </c>
      <c r="M37" s="443">
        <f t="shared" si="7"/>
        <v>0</v>
      </c>
      <c r="N37" s="443">
        <f t="shared" si="7"/>
        <v>0</v>
      </c>
      <c r="O37" s="443">
        <f t="shared" si="7"/>
        <v>0</v>
      </c>
      <c r="P37" s="443">
        <f t="shared" si="7"/>
        <v>0</v>
      </c>
      <c r="Q37" s="443">
        <f t="shared" si="7"/>
        <v>0</v>
      </c>
      <c r="R37" s="443">
        <f t="shared" si="5"/>
        <v>0</v>
      </c>
      <c r="S37" s="443">
        <f t="shared" si="2"/>
        <v>0</v>
      </c>
    </row>
    <row r="38" s="196" customFormat="1" ht="16.9" customHeight="1" spans="1:19">
      <c r="A38" s="183" t="s">
        <v>486</v>
      </c>
      <c r="B38" s="182" t="s">
        <v>252</v>
      </c>
      <c r="C38" s="100">
        <v>0</v>
      </c>
      <c r="D38" s="100">
        <f t="shared" ref="D38:D42" si="8">SUM(E38:O38)</f>
        <v>0</v>
      </c>
      <c r="E38" s="506">
        <v>0</v>
      </c>
      <c r="F38" s="507">
        <v>0</v>
      </c>
      <c r="G38" s="506">
        <v>0</v>
      </c>
      <c r="H38" s="506">
        <v>0</v>
      </c>
      <c r="I38" s="506">
        <v>0</v>
      </c>
      <c r="J38" s="100"/>
      <c r="K38" s="100">
        <v>0</v>
      </c>
      <c r="L38" s="100">
        <v>0</v>
      </c>
      <c r="M38" s="100">
        <v>0</v>
      </c>
      <c r="N38" s="100">
        <v>0</v>
      </c>
      <c r="O38" s="100">
        <v>0</v>
      </c>
      <c r="P38" s="100">
        <f t="shared" ref="P38:P42" si="9">C38+D38</f>
        <v>0</v>
      </c>
      <c r="Q38" s="100">
        <v>0</v>
      </c>
      <c r="R38" s="100">
        <f t="shared" si="5"/>
        <v>0</v>
      </c>
      <c r="S38" s="443">
        <f t="shared" si="2"/>
        <v>0</v>
      </c>
    </row>
    <row r="39" s="196" customFormat="1" ht="16.9" customHeight="1" spans="1:19">
      <c r="A39" s="183" t="s">
        <v>487</v>
      </c>
      <c r="B39" s="182" t="s">
        <v>253</v>
      </c>
      <c r="C39" s="100">
        <v>0</v>
      </c>
      <c r="D39" s="100">
        <f t="shared" si="8"/>
        <v>0</v>
      </c>
      <c r="E39" s="506">
        <v>0</v>
      </c>
      <c r="F39" s="507">
        <v>0</v>
      </c>
      <c r="G39" s="506">
        <v>0</v>
      </c>
      <c r="H39" s="506">
        <v>0</v>
      </c>
      <c r="I39" s="506">
        <v>0</v>
      </c>
      <c r="J39" s="100"/>
      <c r="K39" s="100">
        <v>0</v>
      </c>
      <c r="L39" s="100">
        <v>0</v>
      </c>
      <c r="M39" s="100">
        <v>0</v>
      </c>
      <c r="N39" s="100">
        <v>0</v>
      </c>
      <c r="O39" s="100">
        <v>0</v>
      </c>
      <c r="P39" s="100">
        <f t="shared" si="9"/>
        <v>0</v>
      </c>
      <c r="Q39" s="100">
        <v>0</v>
      </c>
      <c r="R39" s="100">
        <f t="shared" si="5"/>
        <v>0</v>
      </c>
      <c r="S39" s="443">
        <f t="shared" si="2"/>
        <v>0</v>
      </c>
    </row>
    <row r="40" s="403" customFormat="1" ht="16.9" customHeight="1" spans="1:19">
      <c r="A40" s="504" t="s">
        <v>488</v>
      </c>
      <c r="B40" s="505" t="s">
        <v>254</v>
      </c>
      <c r="C40" s="443">
        <f t="shared" ref="C40:Q40" si="10">SUM(C41:C42)</f>
        <v>26</v>
      </c>
      <c r="D40" s="443">
        <f t="shared" si="10"/>
        <v>301</v>
      </c>
      <c r="E40" s="443">
        <f t="shared" si="10"/>
        <v>0</v>
      </c>
      <c r="F40" s="443">
        <f t="shared" si="10"/>
        <v>301</v>
      </c>
      <c r="G40" s="443">
        <f t="shared" si="10"/>
        <v>0</v>
      </c>
      <c r="H40" s="443">
        <f t="shared" si="10"/>
        <v>0</v>
      </c>
      <c r="I40" s="443">
        <f t="shared" si="10"/>
        <v>0</v>
      </c>
      <c r="J40" s="443">
        <f t="shared" si="10"/>
        <v>0</v>
      </c>
      <c r="K40" s="443">
        <f t="shared" si="10"/>
        <v>0</v>
      </c>
      <c r="L40" s="443">
        <f t="shared" si="10"/>
        <v>0</v>
      </c>
      <c r="M40" s="443">
        <f t="shared" si="10"/>
        <v>0</v>
      </c>
      <c r="N40" s="443">
        <f t="shared" si="10"/>
        <v>0</v>
      </c>
      <c r="O40" s="443">
        <f t="shared" si="10"/>
        <v>0</v>
      </c>
      <c r="P40" s="443">
        <f t="shared" si="10"/>
        <v>327</v>
      </c>
      <c r="Q40" s="443">
        <f t="shared" si="10"/>
        <v>327</v>
      </c>
      <c r="R40" s="100">
        <f t="shared" si="5"/>
        <v>0</v>
      </c>
      <c r="S40" s="443">
        <f t="shared" si="2"/>
        <v>0</v>
      </c>
    </row>
    <row r="41" s="196" customFormat="1" ht="16.9" customHeight="1" spans="1:19">
      <c r="A41" s="183" t="s">
        <v>489</v>
      </c>
      <c r="B41" s="182" t="s">
        <v>255</v>
      </c>
      <c r="C41" s="510">
        <v>26</v>
      </c>
      <c r="D41" s="100">
        <f t="shared" si="8"/>
        <v>282</v>
      </c>
      <c r="E41" s="506">
        <v>0</v>
      </c>
      <c r="F41" s="507">
        <v>282</v>
      </c>
      <c r="G41" s="506">
        <v>0</v>
      </c>
      <c r="H41" s="506">
        <v>0</v>
      </c>
      <c r="I41" s="506"/>
      <c r="J41" s="100"/>
      <c r="K41" s="100"/>
      <c r="L41" s="100"/>
      <c r="M41" s="100"/>
      <c r="N41" s="100"/>
      <c r="O41" s="100">
        <v>0</v>
      </c>
      <c r="P41" s="100">
        <f t="shared" si="9"/>
        <v>308</v>
      </c>
      <c r="Q41" s="100">
        <v>308</v>
      </c>
      <c r="R41" s="100">
        <f t="shared" si="5"/>
        <v>0</v>
      </c>
      <c r="S41" s="443">
        <f t="shared" si="2"/>
        <v>0</v>
      </c>
    </row>
    <row r="42" s="196" customFormat="1" ht="16.9" customHeight="1" spans="1:19">
      <c r="A42" s="183" t="s">
        <v>490</v>
      </c>
      <c r="B42" s="182" t="s">
        <v>256</v>
      </c>
      <c r="C42" s="100">
        <v>0</v>
      </c>
      <c r="D42" s="100">
        <f t="shared" si="8"/>
        <v>19</v>
      </c>
      <c r="E42" s="506">
        <v>0</v>
      </c>
      <c r="F42" s="507">
        <v>19</v>
      </c>
      <c r="G42" s="506">
        <v>0</v>
      </c>
      <c r="H42" s="506">
        <v>0</v>
      </c>
      <c r="I42" s="506"/>
      <c r="J42" s="100"/>
      <c r="K42" s="100"/>
      <c r="L42" s="100"/>
      <c r="M42" s="100"/>
      <c r="N42" s="100"/>
      <c r="O42" s="100">
        <v>0</v>
      </c>
      <c r="P42" s="100">
        <f t="shared" si="9"/>
        <v>19</v>
      </c>
      <c r="Q42" s="100">
        <v>19</v>
      </c>
      <c r="R42" s="100">
        <f t="shared" si="5"/>
        <v>0</v>
      </c>
      <c r="S42" s="443">
        <f t="shared" si="2"/>
        <v>0</v>
      </c>
    </row>
    <row r="43" s="403" customFormat="1" ht="16.9" customHeight="1" spans="1:19">
      <c r="A43" s="504" t="s">
        <v>491</v>
      </c>
      <c r="B43" s="505" t="s">
        <v>257</v>
      </c>
      <c r="C43" s="443">
        <f t="shared" ref="C43:Q43" si="11">SUM(C44:C54)</f>
        <v>9792</v>
      </c>
      <c r="D43" s="443">
        <f t="shared" si="11"/>
        <v>3053</v>
      </c>
      <c r="E43" s="443">
        <f t="shared" si="11"/>
        <v>0</v>
      </c>
      <c r="F43" s="443">
        <f t="shared" si="11"/>
        <v>6241</v>
      </c>
      <c r="G43" s="443">
        <f t="shared" si="11"/>
        <v>0</v>
      </c>
      <c r="H43" s="443">
        <f t="shared" si="11"/>
        <v>0</v>
      </c>
      <c r="I43" s="443">
        <f t="shared" si="11"/>
        <v>0</v>
      </c>
      <c r="J43" s="443">
        <f t="shared" si="11"/>
        <v>0</v>
      </c>
      <c r="K43" s="443">
        <f t="shared" si="11"/>
        <v>0</v>
      </c>
      <c r="L43" s="443">
        <f t="shared" si="11"/>
        <v>0</v>
      </c>
      <c r="M43" s="443">
        <f t="shared" si="11"/>
        <v>0</v>
      </c>
      <c r="N43" s="443">
        <f t="shared" si="11"/>
        <v>-1500</v>
      </c>
      <c r="O43" s="443">
        <f t="shared" si="11"/>
        <v>-1688</v>
      </c>
      <c r="P43" s="443">
        <f t="shared" si="11"/>
        <v>12845</v>
      </c>
      <c r="Q43" s="443">
        <f t="shared" si="11"/>
        <v>9721</v>
      </c>
      <c r="R43" s="100">
        <f t="shared" si="5"/>
        <v>3124</v>
      </c>
      <c r="S43" s="443">
        <f t="shared" si="2"/>
        <v>3124</v>
      </c>
    </row>
    <row r="44" s="196" customFormat="1" ht="16.9" customHeight="1" spans="1:19">
      <c r="A44" s="183" t="s">
        <v>492</v>
      </c>
      <c r="B44" s="182" t="s">
        <v>258</v>
      </c>
      <c r="C44" s="510">
        <v>14</v>
      </c>
      <c r="D44" s="100">
        <f t="shared" ref="D44:D54" si="12">SUM(E44:O44)</f>
        <v>24</v>
      </c>
      <c r="E44" s="506">
        <v>0</v>
      </c>
      <c r="F44" s="507">
        <v>24</v>
      </c>
      <c r="G44" s="506"/>
      <c r="H44" s="506"/>
      <c r="I44" s="506"/>
      <c r="J44" s="100"/>
      <c r="K44" s="100"/>
      <c r="L44" s="100"/>
      <c r="M44" s="100"/>
      <c r="N44" s="100"/>
      <c r="O44" s="100"/>
      <c r="P44" s="100">
        <f t="shared" ref="P44:P54" si="13">C44+D44</f>
        <v>38</v>
      </c>
      <c r="Q44" s="100">
        <v>38</v>
      </c>
      <c r="R44" s="100">
        <f t="shared" si="5"/>
        <v>0</v>
      </c>
      <c r="S44" s="443">
        <f t="shared" si="2"/>
        <v>0</v>
      </c>
    </row>
    <row r="45" s="196" customFormat="1" ht="16.9" customHeight="1" spans="1:19">
      <c r="A45" s="183" t="s">
        <v>493</v>
      </c>
      <c r="B45" s="182" t="s">
        <v>259</v>
      </c>
      <c r="C45" s="510">
        <v>8827</v>
      </c>
      <c r="D45" s="100">
        <f t="shared" si="12"/>
        <v>2570</v>
      </c>
      <c r="E45" s="506">
        <v>0</v>
      </c>
      <c r="F45" s="507">
        <v>5758</v>
      </c>
      <c r="G45" s="506"/>
      <c r="H45" s="506"/>
      <c r="I45" s="506"/>
      <c r="J45" s="100"/>
      <c r="K45" s="100"/>
      <c r="L45" s="100"/>
      <c r="M45" s="100"/>
      <c r="N45" s="100">
        <v>-1500</v>
      </c>
      <c r="O45" s="100">
        <v>-1688</v>
      </c>
      <c r="P45" s="100">
        <f t="shared" si="13"/>
        <v>11397</v>
      </c>
      <c r="Q45" s="100">
        <v>8344</v>
      </c>
      <c r="R45" s="100">
        <f t="shared" si="5"/>
        <v>3053</v>
      </c>
      <c r="S45" s="443">
        <f t="shared" si="2"/>
        <v>3053</v>
      </c>
    </row>
    <row r="46" s="196" customFormat="1" ht="16.9" customHeight="1" spans="1:19">
      <c r="A46" s="183" t="s">
        <v>494</v>
      </c>
      <c r="B46" s="182" t="s">
        <v>260</v>
      </c>
      <c r="C46" s="510">
        <v>1</v>
      </c>
      <c r="D46" s="100">
        <f t="shared" si="12"/>
        <v>-1</v>
      </c>
      <c r="E46" s="506">
        <v>0</v>
      </c>
      <c r="F46" s="507"/>
      <c r="G46" s="506"/>
      <c r="H46" s="506"/>
      <c r="I46" s="506"/>
      <c r="J46" s="100">
        <v>-1</v>
      </c>
      <c r="K46" s="100"/>
      <c r="L46" s="100"/>
      <c r="M46" s="100"/>
      <c r="N46" s="100"/>
      <c r="O46" s="100"/>
      <c r="P46" s="100">
        <f t="shared" si="13"/>
        <v>0</v>
      </c>
      <c r="Q46" s="100"/>
      <c r="R46" s="100">
        <f t="shared" si="5"/>
        <v>0</v>
      </c>
      <c r="S46" s="443">
        <f t="shared" si="2"/>
        <v>0</v>
      </c>
    </row>
    <row r="47" s="196" customFormat="1" ht="16.9" customHeight="1" spans="1:19">
      <c r="A47" s="183" t="s">
        <v>495</v>
      </c>
      <c r="B47" s="182" t="s">
        <v>261</v>
      </c>
      <c r="C47" s="510"/>
      <c r="D47" s="100">
        <f t="shared" si="12"/>
        <v>135</v>
      </c>
      <c r="E47" s="506">
        <v>0</v>
      </c>
      <c r="F47" s="507">
        <v>135</v>
      </c>
      <c r="G47" s="506"/>
      <c r="H47" s="506"/>
      <c r="I47" s="506"/>
      <c r="J47" s="100"/>
      <c r="K47" s="100"/>
      <c r="L47" s="100"/>
      <c r="M47" s="100"/>
      <c r="N47" s="100"/>
      <c r="O47" s="100"/>
      <c r="P47" s="100">
        <f t="shared" si="13"/>
        <v>135</v>
      </c>
      <c r="Q47" s="100">
        <v>135</v>
      </c>
      <c r="R47" s="100">
        <f t="shared" si="5"/>
        <v>0</v>
      </c>
      <c r="S47" s="443">
        <f t="shared" si="2"/>
        <v>0</v>
      </c>
    </row>
    <row r="48" s="196" customFormat="1" ht="16.9" customHeight="1" spans="1:19">
      <c r="A48" s="183" t="s">
        <v>496</v>
      </c>
      <c r="B48" s="182" t="s">
        <v>262</v>
      </c>
      <c r="C48" s="510"/>
      <c r="D48" s="100">
        <f t="shared" si="12"/>
        <v>271</v>
      </c>
      <c r="E48" s="506">
        <v>0</v>
      </c>
      <c r="F48" s="507">
        <v>271</v>
      </c>
      <c r="G48" s="506"/>
      <c r="H48" s="506"/>
      <c r="I48" s="506"/>
      <c r="J48" s="100"/>
      <c r="K48" s="100"/>
      <c r="L48" s="100"/>
      <c r="M48" s="100"/>
      <c r="N48" s="100"/>
      <c r="O48" s="100"/>
      <c r="P48" s="100">
        <f t="shared" si="13"/>
        <v>271</v>
      </c>
      <c r="Q48" s="100">
        <v>271</v>
      </c>
      <c r="R48" s="100">
        <f t="shared" si="5"/>
        <v>0</v>
      </c>
      <c r="S48" s="443">
        <f t="shared" si="2"/>
        <v>0</v>
      </c>
    </row>
    <row r="49" s="196" customFormat="1" ht="16.9" customHeight="1" spans="1:19">
      <c r="A49" s="183" t="s">
        <v>497</v>
      </c>
      <c r="B49" s="182" t="s">
        <v>263</v>
      </c>
      <c r="C49" s="510">
        <v>950</v>
      </c>
      <c r="D49" s="100">
        <f t="shared" si="12"/>
        <v>-1</v>
      </c>
      <c r="E49" s="506">
        <v>0</v>
      </c>
      <c r="F49" s="507">
        <v>-2</v>
      </c>
      <c r="G49" s="506"/>
      <c r="H49" s="506"/>
      <c r="I49" s="506"/>
      <c r="J49" s="100">
        <v>1</v>
      </c>
      <c r="K49" s="100"/>
      <c r="L49" s="100"/>
      <c r="M49" s="100"/>
      <c r="N49" s="100"/>
      <c r="O49" s="100"/>
      <c r="P49" s="100">
        <f t="shared" si="13"/>
        <v>949</v>
      </c>
      <c r="Q49" s="100">
        <v>878</v>
      </c>
      <c r="R49" s="100">
        <f t="shared" si="5"/>
        <v>71</v>
      </c>
      <c r="S49" s="443">
        <f t="shared" si="2"/>
        <v>71</v>
      </c>
    </row>
    <row r="50" s="196" customFormat="1" ht="16.9" customHeight="1" spans="1:19">
      <c r="A50" s="183" t="s">
        <v>498</v>
      </c>
      <c r="B50" s="182" t="s">
        <v>264</v>
      </c>
      <c r="C50" s="510"/>
      <c r="D50" s="100">
        <f t="shared" si="12"/>
        <v>0</v>
      </c>
      <c r="E50" s="506">
        <v>0</v>
      </c>
      <c r="F50" s="507"/>
      <c r="G50" s="506"/>
      <c r="H50" s="506"/>
      <c r="I50" s="506"/>
      <c r="J50" s="100"/>
      <c r="K50" s="100"/>
      <c r="L50" s="100"/>
      <c r="M50" s="100"/>
      <c r="N50" s="100"/>
      <c r="O50" s="100"/>
      <c r="P50" s="100">
        <f t="shared" si="13"/>
        <v>0</v>
      </c>
      <c r="Q50" s="100"/>
      <c r="R50" s="100">
        <f t="shared" si="5"/>
        <v>0</v>
      </c>
      <c r="S50" s="443">
        <f t="shared" si="2"/>
        <v>0</v>
      </c>
    </row>
    <row r="51" s="196" customFormat="1" ht="16.9" customHeight="1" spans="1:19">
      <c r="A51" s="183" t="s">
        <v>499</v>
      </c>
      <c r="B51" s="609" t="s">
        <v>265</v>
      </c>
      <c r="C51" s="510"/>
      <c r="D51" s="100">
        <f t="shared" si="12"/>
        <v>0</v>
      </c>
      <c r="E51" s="506">
        <v>0</v>
      </c>
      <c r="F51" s="507"/>
      <c r="G51" s="506"/>
      <c r="H51" s="506"/>
      <c r="I51" s="506"/>
      <c r="J51" s="100"/>
      <c r="K51" s="100"/>
      <c r="L51" s="100"/>
      <c r="M51" s="100"/>
      <c r="N51" s="100"/>
      <c r="O51" s="100"/>
      <c r="P51" s="100">
        <f t="shared" si="13"/>
        <v>0</v>
      </c>
      <c r="Q51" s="100"/>
      <c r="R51" s="100">
        <f t="shared" si="5"/>
        <v>0</v>
      </c>
      <c r="S51" s="443">
        <f t="shared" si="2"/>
        <v>0</v>
      </c>
    </row>
    <row r="52" s="196" customFormat="1" ht="16.9" customHeight="1" spans="1:19">
      <c r="A52" s="183" t="s">
        <v>500</v>
      </c>
      <c r="B52" s="182" t="s">
        <v>266</v>
      </c>
      <c r="C52" s="510"/>
      <c r="D52" s="100">
        <f t="shared" si="12"/>
        <v>0</v>
      </c>
      <c r="E52" s="506">
        <v>0</v>
      </c>
      <c r="F52" s="507"/>
      <c r="G52" s="506"/>
      <c r="H52" s="506"/>
      <c r="I52" s="506"/>
      <c r="J52" s="100"/>
      <c r="K52" s="100"/>
      <c r="L52" s="100"/>
      <c r="M52" s="100"/>
      <c r="N52" s="100"/>
      <c r="O52" s="100"/>
      <c r="P52" s="100">
        <f t="shared" si="13"/>
        <v>0</v>
      </c>
      <c r="Q52" s="100"/>
      <c r="R52" s="100">
        <f t="shared" si="5"/>
        <v>0</v>
      </c>
      <c r="S52" s="443">
        <f t="shared" si="2"/>
        <v>0</v>
      </c>
    </row>
    <row r="53" s="196" customFormat="1" ht="17.1" customHeight="1" spans="1:19">
      <c r="A53" s="183" t="s">
        <v>501</v>
      </c>
      <c r="B53" s="182" t="s">
        <v>267</v>
      </c>
      <c r="C53" s="510"/>
      <c r="D53" s="100">
        <f t="shared" si="12"/>
        <v>0</v>
      </c>
      <c r="E53" s="506">
        <v>0</v>
      </c>
      <c r="F53" s="507"/>
      <c r="G53" s="506"/>
      <c r="H53" s="506"/>
      <c r="I53" s="506"/>
      <c r="J53" s="100"/>
      <c r="K53" s="100"/>
      <c r="L53" s="100"/>
      <c r="M53" s="100"/>
      <c r="N53" s="100"/>
      <c r="O53" s="100"/>
      <c r="P53" s="100">
        <f t="shared" si="13"/>
        <v>0</v>
      </c>
      <c r="Q53" s="100"/>
      <c r="R53" s="100">
        <f t="shared" si="5"/>
        <v>0</v>
      </c>
      <c r="S53" s="443">
        <f t="shared" si="2"/>
        <v>0</v>
      </c>
    </row>
    <row r="54" s="196" customFormat="1" ht="16.9" customHeight="1" spans="1:19">
      <c r="A54" s="183" t="s">
        <v>502</v>
      </c>
      <c r="B54" s="182" t="s">
        <v>268</v>
      </c>
      <c r="C54" s="510"/>
      <c r="D54" s="100">
        <f t="shared" si="12"/>
        <v>55</v>
      </c>
      <c r="E54" s="506">
        <v>0</v>
      </c>
      <c r="F54" s="507">
        <v>55</v>
      </c>
      <c r="G54" s="506"/>
      <c r="H54" s="506"/>
      <c r="I54" s="506"/>
      <c r="J54" s="100"/>
      <c r="K54" s="100"/>
      <c r="L54" s="100"/>
      <c r="M54" s="100"/>
      <c r="N54" s="100"/>
      <c r="O54" s="100"/>
      <c r="P54" s="100">
        <f t="shared" si="13"/>
        <v>55</v>
      </c>
      <c r="Q54" s="100">
        <v>55</v>
      </c>
      <c r="R54" s="100">
        <f t="shared" si="5"/>
        <v>0</v>
      </c>
      <c r="S54" s="443">
        <f t="shared" si="2"/>
        <v>0</v>
      </c>
    </row>
    <row r="55" s="403" customFormat="1" ht="16.9" customHeight="1" spans="1:19">
      <c r="A55" s="504" t="s">
        <v>503</v>
      </c>
      <c r="B55" s="505" t="s">
        <v>269</v>
      </c>
      <c r="C55" s="443">
        <f t="shared" ref="C55:Q55" si="14">SUM(C56:C65)</f>
        <v>69233</v>
      </c>
      <c r="D55" s="443">
        <f t="shared" si="14"/>
        <v>13607</v>
      </c>
      <c r="E55" s="443">
        <f t="shared" si="14"/>
        <v>0</v>
      </c>
      <c r="F55" s="443">
        <f t="shared" si="14"/>
        <v>15129</v>
      </c>
      <c r="G55" s="443">
        <f t="shared" si="14"/>
        <v>0</v>
      </c>
      <c r="H55" s="443">
        <f t="shared" si="14"/>
        <v>0</v>
      </c>
      <c r="I55" s="443">
        <f t="shared" si="14"/>
        <v>0</v>
      </c>
      <c r="J55" s="443">
        <f t="shared" si="14"/>
        <v>0</v>
      </c>
      <c r="K55" s="443">
        <f t="shared" si="14"/>
        <v>0</v>
      </c>
      <c r="L55" s="443">
        <f t="shared" si="14"/>
        <v>424</v>
      </c>
      <c r="M55" s="443">
        <f t="shared" si="14"/>
        <v>0</v>
      </c>
      <c r="N55" s="443">
        <f t="shared" si="14"/>
        <v>-3495</v>
      </c>
      <c r="O55" s="443">
        <f t="shared" si="14"/>
        <v>1549</v>
      </c>
      <c r="P55" s="443">
        <f t="shared" si="14"/>
        <v>82840</v>
      </c>
      <c r="Q55" s="443">
        <f t="shared" si="14"/>
        <v>70306</v>
      </c>
      <c r="R55" s="100">
        <f t="shared" si="5"/>
        <v>12534</v>
      </c>
      <c r="S55" s="443">
        <f t="shared" si="2"/>
        <v>12534</v>
      </c>
    </row>
    <row r="56" s="196" customFormat="1" ht="16.9" customHeight="1" spans="1:19">
      <c r="A56" s="183" t="s">
        <v>504</v>
      </c>
      <c r="B56" s="182" t="s">
        <v>270</v>
      </c>
      <c r="C56" s="510">
        <v>224</v>
      </c>
      <c r="D56" s="100">
        <f t="shared" ref="D56:D65" si="15">SUM(E56:O56)</f>
        <v>-23</v>
      </c>
      <c r="E56" s="506">
        <v>0</v>
      </c>
      <c r="F56" s="507">
        <v>-23</v>
      </c>
      <c r="G56" s="506">
        <v>0</v>
      </c>
      <c r="H56" s="506">
        <v>0</v>
      </c>
      <c r="I56" s="506"/>
      <c r="J56" s="100"/>
      <c r="K56" s="100"/>
      <c r="L56" s="100"/>
      <c r="M56" s="100"/>
      <c r="N56" s="100"/>
      <c r="O56" s="100">
        <v>0</v>
      </c>
      <c r="P56" s="100">
        <f t="shared" ref="P56:P65" si="16">C56+D56</f>
        <v>201</v>
      </c>
      <c r="Q56" s="100">
        <v>201</v>
      </c>
      <c r="R56" s="100">
        <f t="shared" si="5"/>
        <v>0</v>
      </c>
      <c r="S56" s="443">
        <f t="shared" si="2"/>
        <v>0</v>
      </c>
    </row>
    <row r="57" s="196" customFormat="1" ht="16.9" customHeight="1" spans="1:19">
      <c r="A57" s="183" t="s">
        <v>505</v>
      </c>
      <c r="B57" s="182" t="s">
        <v>271</v>
      </c>
      <c r="C57" s="511">
        <v>67306</v>
      </c>
      <c r="D57" s="100">
        <f t="shared" si="15"/>
        <v>11556</v>
      </c>
      <c r="E57" s="506"/>
      <c r="F57" s="507">
        <f>10891+4211</f>
        <v>15102</v>
      </c>
      <c r="G57" s="506"/>
      <c r="H57" s="506"/>
      <c r="I57" s="506"/>
      <c r="J57" s="100"/>
      <c r="K57" s="100"/>
      <c r="L57" s="517">
        <v>424</v>
      </c>
      <c r="M57" s="100"/>
      <c r="N57" s="100">
        <v>-3495</v>
      </c>
      <c r="O57" s="100">
        <v>-475</v>
      </c>
      <c r="P57" s="100">
        <f t="shared" si="16"/>
        <v>78862</v>
      </c>
      <c r="Q57" s="100">
        <v>69469</v>
      </c>
      <c r="R57" s="100">
        <f t="shared" si="5"/>
        <v>9393</v>
      </c>
      <c r="S57" s="443">
        <f t="shared" si="2"/>
        <v>9393</v>
      </c>
    </row>
    <row r="58" s="196" customFormat="1" ht="16.9" customHeight="1" spans="1:19">
      <c r="A58" s="183" t="s">
        <v>506</v>
      </c>
      <c r="B58" s="182" t="s">
        <v>272</v>
      </c>
      <c r="C58" s="510">
        <v>210</v>
      </c>
      <c r="D58" s="100">
        <f t="shared" si="15"/>
        <v>-199</v>
      </c>
      <c r="E58" s="506"/>
      <c r="F58" s="507"/>
      <c r="G58" s="506"/>
      <c r="H58" s="506"/>
      <c r="I58" s="506"/>
      <c r="J58" s="100">
        <v>-198</v>
      </c>
      <c r="K58" s="100"/>
      <c r="L58" s="100"/>
      <c r="M58" s="100"/>
      <c r="N58" s="100"/>
      <c r="O58" s="100">
        <v>-1</v>
      </c>
      <c r="P58" s="100">
        <f t="shared" si="16"/>
        <v>11</v>
      </c>
      <c r="Q58" s="100">
        <v>11</v>
      </c>
      <c r="R58" s="100">
        <f t="shared" si="5"/>
        <v>0</v>
      </c>
      <c r="S58" s="443">
        <f t="shared" si="2"/>
        <v>0</v>
      </c>
    </row>
    <row r="59" s="196" customFormat="1" ht="16.9" customHeight="1" spans="1:19">
      <c r="A59" s="183" t="s">
        <v>507</v>
      </c>
      <c r="B59" s="182" t="s">
        <v>273</v>
      </c>
      <c r="C59" s="510"/>
      <c r="D59" s="100">
        <f t="shared" si="15"/>
        <v>0</v>
      </c>
      <c r="E59" s="506"/>
      <c r="F59" s="507"/>
      <c r="G59" s="506"/>
      <c r="H59" s="506"/>
      <c r="I59" s="506"/>
      <c r="J59" s="100"/>
      <c r="K59" s="100"/>
      <c r="L59" s="100"/>
      <c r="M59" s="100"/>
      <c r="N59" s="100"/>
      <c r="O59" s="100"/>
      <c r="P59" s="100">
        <f t="shared" si="16"/>
        <v>0</v>
      </c>
      <c r="Q59" s="100"/>
      <c r="R59" s="100">
        <f t="shared" si="5"/>
        <v>0</v>
      </c>
      <c r="S59" s="443">
        <f t="shared" si="2"/>
        <v>0</v>
      </c>
    </row>
    <row r="60" s="196" customFormat="1" ht="16.9" customHeight="1" spans="1:19">
      <c r="A60" s="183" t="s">
        <v>508</v>
      </c>
      <c r="B60" s="182" t="s">
        <v>274</v>
      </c>
      <c r="C60" s="510"/>
      <c r="D60" s="100">
        <f t="shared" si="15"/>
        <v>0</v>
      </c>
      <c r="E60" s="506"/>
      <c r="F60" s="507"/>
      <c r="G60" s="506"/>
      <c r="H60" s="506"/>
      <c r="I60" s="506"/>
      <c r="J60" s="100"/>
      <c r="K60" s="100"/>
      <c r="L60" s="100"/>
      <c r="M60" s="100"/>
      <c r="N60" s="100"/>
      <c r="O60" s="100"/>
      <c r="P60" s="100">
        <f t="shared" si="16"/>
        <v>0</v>
      </c>
      <c r="Q60" s="100"/>
      <c r="R60" s="100">
        <f t="shared" si="5"/>
        <v>0</v>
      </c>
      <c r="S60" s="443">
        <f t="shared" si="2"/>
        <v>0</v>
      </c>
    </row>
    <row r="61" s="196" customFormat="1" ht="16.9" customHeight="1" spans="1:19">
      <c r="A61" s="183" t="s">
        <v>509</v>
      </c>
      <c r="B61" s="182" t="s">
        <v>275</v>
      </c>
      <c r="C61" s="510"/>
      <c r="D61" s="100">
        <f t="shared" si="15"/>
        <v>0</v>
      </c>
      <c r="E61" s="506"/>
      <c r="F61" s="507"/>
      <c r="G61" s="506"/>
      <c r="H61" s="506"/>
      <c r="I61" s="506"/>
      <c r="J61" s="100"/>
      <c r="K61" s="100"/>
      <c r="L61" s="100"/>
      <c r="M61" s="100"/>
      <c r="N61" s="100"/>
      <c r="O61" s="100"/>
      <c r="P61" s="100">
        <f t="shared" si="16"/>
        <v>0</v>
      </c>
      <c r="Q61" s="100"/>
      <c r="R61" s="100">
        <f t="shared" si="5"/>
        <v>0</v>
      </c>
      <c r="S61" s="443">
        <f t="shared" si="2"/>
        <v>0</v>
      </c>
    </row>
    <row r="62" s="196" customFormat="1" ht="16.9" customHeight="1" spans="1:19">
      <c r="A62" s="183" t="s">
        <v>510</v>
      </c>
      <c r="B62" s="182" t="s">
        <v>276</v>
      </c>
      <c r="C62" s="510">
        <v>253</v>
      </c>
      <c r="D62" s="100">
        <f t="shared" si="15"/>
        <v>79</v>
      </c>
      <c r="E62" s="506"/>
      <c r="F62" s="507">
        <v>79</v>
      </c>
      <c r="G62" s="506"/>
      <c r="H62" s="506"/>
      <c r="I62" s="506"/>
      <c r="J62" s="100"/>
      <c r="K62" s="100"/>
      <c r="L62" s="100"/>
      <c r="M62" s="100"/>
      <c r="N62" s="100"/>
      <c r="O62" s="100"/>
      <c r="P62" s="100">
        <f t="shared" si="16"/>
        <v>332</v>
      </c>
      <c r="Q62" s="100">
        <v>314</v>
      </c>
      <c r="R62" s="100">
        <f t="shared" si="5"/>
        <v>18</v>
      </c>
      <c r="S62" s="443">
        <f t="shared" si="2"/>
        <v>18</v>
      </c>
    </row>
    <row r="63" s="196" customFormat="1" ht="16.9" customHeight="1" spans="1:19">
      <c r="A63" s="183" t="s">
        <v>511</v>
      </c>
      <c r="B63" s="609" t="s">
        <v>277</v>
      </c>
      <c r="C63" s="510">
        <v>300</v>
      </c>
      <c r="D63" s="100">
        <f t="shared" si="15"/>
        <v>-29</v>
      </c>
      <c r="E63" s="506"/>
      <c r="F63" s="100">
        <v>-29</v>
      </c>
      <c r="G63" s="506"/>
      <c r="H63" s="506"/>
      <c r="I63" s="506"/>
      <c r="J63" s="515"/>
      <c r="K63" s="100"/>
      <c r="L63" s="100"/>
      <c r="M63" s="100"/>
      <c r="N63" s="100"/>
      <c r="O63" s="100"/>
      <c r="P63" s="100">
        <f t="shared" si="16"/>
        <v>271</v>
      </c>
      <c r="Q63" s="100">
        <v>271</v>
      </c>
      <c r="R63" s="100">
        <f t="shared" si="5"/>
        <v>0</v>
      </c>
      <c r="S63" s="443">
        <f t="shared" si="2"/>
        <v>0</v>
      </c>
    </row>
    <row r="64" s="196" customFormat="1" ht="16.9" customHeight="1" spans="1:19">
      <c r="A64" s="183" t="s">
        <v>512</v>
      </c>
      <c r="B64" s="182" t="s">
        <v>278</v>
      </c>
      <c r="C64" s="510">
        <v>940</v>
      </c>
      <c r="D64" s="100">
        <f t="shared" si="15"/>
        <v>2223</v>
      </c>
      <c r="E64" s="506"/>
      <c r="F64" s="100"/>
      <c r="G64" s="506"/>
      <c r="H64" s="506"/>
      <c r="I64" s="506"/>
      <c r="J64" s="515">
        <v>198</v>
      </c>
      <c r="K64" s="100"/>
      <c r="L64" s="100"/>
      <c r="M64" s="100"/>
      <c r="N64" s="100"/>
      <c r="O64" s="100">
        <v>2025</v>
      </c>
      <c r="P64" s="100">
        <f t="shared" si="16"/>
        <v>3163</v>
      </c>
      <c r="Q64" s="100">
        <v>40</v>
      </c>
      <c r="R64" s="100">
        <f t="shared" si="5"/>
        <v>3123</v>
      </c>
      <c r="S64" s="443">
        <f t="shared" si="2"/>
        <v>3123</v>
      </c>
    </row>
    <row r="65" s="196" customFormat="1" ht="16.9" customHeight="1" spans="1:19">
      <c r="A65" s="183" t="s">
        <v>513</v>
      </c>
      <c r="B65" s="182" t="s">
        <v>279</v>
      </c>
      <c r="C65" s="510"/>
      <c r="D65" s="100">
        <f t="shared" si="15"/>
        <v>0</v>
      </c>
      <c r="E65" s="506"/>
      <c r="F65" s="507"/>
      <c r="G65" s="506"/>
      <c r="H65" s="506"/>
      <c r="I65" s="506"/>
      <c r="J65" s="100"/>
      <c r="K65" s="100"/>
      <c r="L65" s="100"/>
      <c r="M65" s="100"/>
      <c r="N65" s="100"/>
      <c r="O65" s="100"/>
      <c r="P65" s="100">
        <f t="shared" si="16"/>
        <v>0</v>
      </c>
      <c r="Q65" s="100"/>
      <c r="R65" s="100">
        <f t="shared" si="5"/>
        <v>0</v>
      </c>
      <c r="S65" s="443">
        <f t="shared" si="2"/>
        <v>0</v>
      </c>
    </row>
    <row r="66" s="403" customFormat="1" ht="16.9" customHeight="1" spans="1:19">
      <c r="A66" s="504" t="s">
        <v>514</v>
      </c>
      <c r="B66" s="505" t="s">
        <v>280</v>
      </c>
      <c r="C66" s="443">
        <f t="shared" ref="C66:Q66" si="17">SUM(C67:C76)</f>
        <v>2235</v>
      </c>
      <c r="D66" s="443">
        <f t="shared" si="17"/>
        <v>-957</v>
      </c>
      <c r="E66" s="443">
        <f t="shared" si="17"/>
        <v>0</v>
      </c>
      <c r="F66" s="443">
        <f t="shared" si="17"/>
        <v>-957</v>
      </c>
      <c r="G66" s="443">
        <f t="shared" si="17"/>
        <v>0</v>
      </c>
      <c r="H66" s="443">
        <f t="shared" si="17"/>
        <v>0</v>
      </c>
      <c r="I66" s="443">
        <f t="shared" si="17"/>
        <v>0</v>
      </c>
      <c r="J66" s="443">
        <f t="shared" si="17"/>
        <v>0</v>
      </c>
      <c r="K66" s="443">
        <f t="shared" si="17"/>
        <v>0</v>
      </c>
      <c r="L66" s="443">
        <f t="shared" si="17"/>
        <v>0</v>
      </c>
      <c r="M66" s="443">
        <f t="shared" si="17"/>
        <v>0</v>
      </c>
      <c r="N66" s="443">
        <f t="shared" si="17"/>
        <v>0</v>
      </c>
      <c r="O66" s="443">
        <f t="shared" si="17"/>
        <v>0</v>
      </c>
      <c r="P66" s="443">
        <f t="shared" si="17"/>
        <v>1278</v>
      </c>
      <c r="Q66" s="443">
        <f t="shared" si="17"/>
        <v>1221</v>
      </c>
      <c r="R66" s="100">
        <f t="shared" si="5"/>
        <v>57</v>
      </c>
      <c r="S66" s="443">
        <f t="shared" si="2"/>
        <v>57</v>
      </c>
    </row>
    <row r="67" s="196" customFormat="1" ht="16.9" customHeight="1" spans="1:19">
      <c r="A67" s="183" t="s">
        <v>515</v>
      </c>
      <c r="B67" s="182" t="s">
        <v>281</v>
      </c>
      <c r="C67" s="510">
        <v>337</v>
      </c>
      <c r="D67" s="100">
        <f t="shared" ref="D67:D76" si="18">SUM(E67:O67)</f>
        <v>-19</v>
      </c>
      <c r="E67" s="506"/>
      <c r="F67" s="507">
        <f>-20+1</f>
        <v>-19</v>
      </c>
      <c r="G67" s="506"/>
      <c r="H67" s="506"/>
      <c r="I67" s="506"/>
      <c r="J67" s="100"/>
      <c r="K67" s="100"/>
      <c r="L67" s="100"/>
      <c r="M67" s="100"/>
      <c r="N67" s="100"/>
      <c r="O67" s="100"/>
      <c r="P67" s="100">
        <f t="shared" ref="P67:P76" si="19">C67+D67</f>
        <v>318</v>
      </c>
      <c r="Q67" s="100">
        <v>318</v>
      </c>
      <c r="R67" s="100">
        <f t="shared" si="5"/>
        <v>0</v>
      </c>
      <c r="S67" s="443">
        <f t="shared" si="2"/>
        <v>0</v>
      </c>
    </row>
    <row r="68" s="196" customFormat="1" ht="16.9" customHeight="1" spans="1:19">
      <c r="A68" s="183" t="s">
        <v>516</v>
      </c>
      <c r="B68" s="182" t="s">
        <v>282</v>
      </c>
      <c r="C68" s="510">
        <v>196</v>
      </c>
      <c r="D68" s="100">
        <f t="shared" si="18"/>
        <v>4</v>
      </c>
      <c r="E68" s="506"/>
      <c r="F68" s="507">
        <v>4</v>
      </c>
      <c r="G68" s="506"/>
      <c r="H68" s="506"/>
      <c r="I68" s="506"/>
      <c r="J68" s="100"/>
      <c r="K68" s="100"/>
      <c r="L68" s="100"/>
      <c r="M68" s="100"/>
      <c r="N68" s="100"/>
      <c r="O68" s="100"/>
      <c r="P68" s="100">
        <f t="shared" si="19"/>
        <v>200</v>
      </c>
      <c r="Q68" s="100">
        <v>200</v>
      </c>
      <c r="R68" s="100">
        <f t="shared" si="5"/>
        <v>0</v>
      </c>
      <c r="S68" s="443">
        <f t="shared" si="2"/>
        <v>0</v>
      </c>
    </row>
    <row r="69" s="196" customFormat="1" ht="16.9" customHeight="1" spans="1:19">
      <c r="A69" s="183" t="s">
        <v>517</v>
      </c>
      <c r="B69" s="182" t="s">
        <v>283</v>
      </c>
      <c r="C69" s="510"/>
      <c r="D69" s="100">
        <f t="shared" si="18"/>
        <v>0</v>
      </c>
      <c r="E69" s="506"/>
      <c r="F69" s="507"/>
      <c r="G69" s="506"/>
      <c r="H69" s="506"/>
      <c r="I69" s="506"/>
      <c r="J69" s="100"/>
      <c r="K69" s="100"/>
      <c r="L69" s="100"/>
      <c r="M69" s="100"/>
      <c r="N69" s="100"/>
      <c r="O69" s="100"/>
      <c r="P69" s="100">
        <f t="shared" si="19"/>
        <v>0</v>
      </c>
      <c r="Q69" s="100"/>
      <c r="R69" s="100">
        <f t="shared" si="5"/>
        <v>0</v>
      </c>
      <c r="S69" s="443">
        <f t="shared" si="2"/>
        <v>0</v>
      </c>
    </row>
    <row r="70" s="196" customFormat="1" ht="16.9" customHeight="1" spans="1:19">
      <c r="A70" s="183" t="s">
        <v>518</v>
      </c>
      <c r="B70" s="182" t="s">
        <v>284</v>
      </c>
      <c r="C70" s="510">
        <v>1613</v>
      </c>
      <c r="D70" s="100">
        <f t="shared" si="18"/>
        <v>-1108</v>
      </c>
      <c r="E70" s="506"/>
      <c r="F70" s="507">
        <v>-1108</v>
      </c>
      <c r="G70" s="506"/>
      <c r="H70" s="506"/>
      <c r="I70" s="506"/>
      <c r="J70" s="100"/>
      <c r="K70" s="100"/>
      <c r="L70" s="100"/>
      <c r="M70" s="100"/>
      <c r="N70" s="100"/>
      <c r="O70" s="100"/>
      <c r="P70" s="100">
        <f t="shared" si="19"/>
        <v>505</v>
      </c>
      <c r="Q70" s="100">
        <v>505</v>
      </c>
      <c r="R70" s="100">
        <f t="shared" si="5"/>
        <v>0</v>
      </c>
      <c r="S70" s="443">
        <f t="shared" si="2"/>
        <v>0</v>
      </c>
    </row>
    <row r="71" s="196" customFormat="1" ht="16.9" customHeight="1" spans="1:19">
      <c r="A71" s="183" t="s">
        <v>519</v>
      </c>
      <c r="B71" s="182" t="s">
        <v>285</v>
      </c>
      <c r="C71" s="510"/>
      <c r="D71" s="100">
        <f t="shared" si="18"/>
        <v>0</v>
      </c>
      <c r="E71" s="506"/>
      <c r="F71" s="507"/>
      <c r="G71" s="506"/>
      <c r="H71" s="506"/>
      <c r="I71" s="506"/>
      <c r="J71" s="100"/>
      <c r="K71" s="100"/>
      <c r="L71" s="100"/>
      <c r="M71" s="100"/>
      <c r="N71" s="100"/>
      <c r="O71" s="100"/>
      <c r="P71" s="100">
        <f t="shared" si="19"/>
        <v>0</v>
      </c>
      <c r="Q71" s="100"/>
      <c r="R71" s="100">
        <f t="shared" si="5"/>
        <v>0</v>
      </c>
      <c r="S71" s="443">
        <f t="shared" ref="S71:S134" si="20">R71</f>
        <v>0</v>
      </c>
    </row>
    <row r="72" s="196" customFormat="1" ht="16.9" customHeight="1" spans="1:19">
      <c r="A72" s="183" t="s">
        <v>520</v>
      </c>
      <c r="B72" s="182" t="s">
        <v>286</v>
      </c>
      <c r="C72" s="510"/>
      <c r="D72" s="100">
        <f t="shared" si="18"/>
        <v>0</v>
      </c>
      <c r="E72" s="506"/>
      <c r="F72" s="507"/>
      <c r="G72" s="506"/>
      <c r="H72" s="506"/>
      <c r="I72" s="506"/>
      <c r="J72" s="100"/>
      <c r="K72" s="100"/>
      <c r="L72" s="100"/>
      <c r="M72" s="100"/>
      <c r="N72" s="100"/>
      <c r="O72" s="100"/>
      <c r="P72" s="100">
        <f t="shared" si="19"/>
        <v>0</v>
      </c>
      <c r="Q72" s="100"/>
      <c r="R72" s="100">
        <f t="shared" ref="R72:R135" si="21">P72-Q72</f>
        <v>0</v>
      </c>
      <c r="S72" s="443">
        <f t="shared" si="20"/>
        <v>0</v>
      </c>
    </row>
    <row r="73" s="196" customFormat="1" ht="16.9" customHeight="1" spans="1:19">
      <c r="A73" s="183" t="s">
        <v>521</v>
      </c>
      <c r="B73" s="182" t="s">
        <v>287</v>
      </c>
      <c r="C73" s="510">
        <v>87</v>
      </c>
      <c r="D73" s="100">
        <f t="shared" si="18"/>
        <v>168</v>
      </c>
      <c r="E73" s="506"/>
      <c r="F73" s="507">
        <v>168</v>
      </c>
      <c r="G73" s="506"/>
      <c r="H73" s="506"/>
      <c r="I73" s="506"/>
      <c r="J73" s="100"/>
      <c r="K73" s="100"/>
      <c r="L73" s="100"/>
      <c r="M73" s="100"/>
      <c r="N73" s="100"/>
      <c r="O73" s="100"/>
      <c r="P73" s="100">
        <f t="shared" si="19"/>
        <v>255</v>
      </c>
      <c r="Q73" s="100">
        <v>198</v>
      </c>
      <c r="R73" s="100">
        <f t="shared" si="21"/>
        <v>57</v>
      </c>
      <c r="S73" s="443">
        <f t="shared" si="20"/>
        <v>57</v>
      </c>
    </row>
    <row r="74" s="196" customFormat="1" ht="16.9" customHeight="1" spans="1:19">
      <c r="A74" s="183" t="s">
        <v>522</v>
      </c>
      <c r="B74" s="182" t="s">
        <v>288</v>
      </c>
      <c r="C74" s="510"/>
      <c r="D74" s="100">
        <f t="shared" si="18"/>
        <v>0</v>
      </c>
      <c r="E74" s="506"/>
      <c r="F74" s="507"/>
      <c r="G74" s="506"/>
      <c r="H74" s="506"/>
      <c r="I74" s="506"/>
      <c r="J74" s="100"/>
      <c r="K74" s="100"/>
      <c r="L74" s="100"/>
      <c r="M74" s="100"/>
      <c r="N74" s="100"/>
      <c r="O74" s="100"/>
      <c r="P74" s="100">
        <f t="shared" si="19"/>
        <v>0</v>
      </c>
      <c r="Q74" s="100"/>
      <c r="R74" s="100">
        <f t="shared" si="21"/>
        <v>0</v>
      </c>
      <c r="S74" s="443">
        <f t="shared" si="20"/>
        <v>0</v>
      </c>
    </row>
    <row r="75" s="196" customFormat="1" ht="16.9" customHeight="1" spans="1:19">
      <c r="A75" s="183" t="s">
        <v>523</v>
      </c>
      <c r="B75" s="182" t="s">
        <v>289</v>
      </c>
      <c r="C75" s="510"/>
      <c r="D75" s="100">
        <f t="shared" si="18"/>
        <v>0</v>
      </c>
      <c r="E75" s="506"/>
      <c r="F75" s="507"/>
      <c r="G75" s="506"/>
      <c r="H75" s="506"/>
      <c r="I75" s="506"/>
      <c r="J75" s="100"/>
      <c r="K75" s="100"/>
      <c r="L75" s="100"/>
      <c r="M75" s="100"/>
      <c r="N75" s="100"/>
      <c r="O75" s="100"/>
      <c r="P75" s="100">
        <f t="shared" si="19"/>
        <v>0</v>
      </c>
      <c r="Q75" s="100"/>
      <c r="R75" s="100">
        <f t="shared" si="21"/>
        <v>0</v>
      </c>
      <c r="S75" s="443">
        <f t="shared" si="20"/>
        <v>0</v>
      </c>
    </row>
    <row r="76" s="196" customFormat="1" ht="16.9" customHeight="1" spans="1:19">
      <c r="A76" s="183" t="s">
        <v>524</v>
      </c>
      <c r="B76" s="182" t="s">
        <v>290</v>
      </c>
      <c r="C76" s="510">
        <v>2</v>
      </c>
      <c r="D76" s="100">
        <f t="shared" si="18"/>
        <v>-2</v>
      </c>
      <c r="E76" s="506"/>
      <c r="F76" s="507">
        <v>-2</v>
      </c>
      <c r="G76" s="506"/>
      <c r="H76" s="506"/>
      <c r="I76" s="506"/>
      <c r="J76" s="100"/>
      <c r="K76" s="100"/>
      <c r="L76" s="100"/>
      <c r="M76" s="100"/>
      <c r="N76" s="100"/>
      <c r="O76" s="100"/>
      <c r="P76" s="100">
        <f t="shared" si="19"/>
        <v>0</v>
      </c>
      <c r="Q76" s="100"/>
      <c r="R76" s="100">
        <f t="shared" si="21"/>
        <v>0</v>
      </c>
      <c r="S76" s="443">
        <f t="shared" si="20"/>
        <v>0</v>
      </c>
    </row>
    <row r="77" s="403" customFormat="1" ht="16.9" customHeight="1" spans="1:19">
      <c r="A77" s="504" t="s">
        <v>525</v>
      </c>
      <c r="B77" s="505" t="s">
        <v>291</v>
      </c>
      <c r="C77" s="443">
        <f t="shared" ref="C77:Q77" si="22">SUM(C78:C83)</f>
        <v>5678</v>
      </c>
      <c r="D77" s="443">
        <f t="shared" si="22"/>
        <v>-10</v>
      </c>
      <c r="E77" s="443">
        <f t="shared" si="22"/>
        <v>0</v>
      </c>
      <c r="F77" s="443">
        <f t="shared" si="22"/>
        <v>-12</v>
      </c>
      <c r="G77" s="443">
        <f t="shared" si="22"/>
        <v>0</v>
      </c>
      <c r="H77" s="443">
        <f t="shared" si="22"/>
        <v>0</v>
      </c>
      <c r="I77" s="443">
        <f t="shared" si="22"/>
        <v>0</v>
      </c>
      <c r="J77" s="443">
        <f t="shared" si="22"/>
        <v>0</v>
      </c>
      <c r="K77" s="443">
        <f t="shared" si="22"/>
        <v>0</v>
      </c>
      <c r="L77" s="443">
        <f t="shared" si="22"/>
        <v>0</v>
      </c>
      <c r="M77" s="443">
        <f t="shared" si="22"/>
        <v>0</v>
      </c>
      <c r="N77" s="443">
        <f t="shared" si="22"/>
        <v>0</v>
      </c>
      <c r="O77" s="443">
        <f t="shared" si="22"/>
        <v>2</v>
      </c>
      <c r="P77" s="443">
        <f t="shared" si="22"/>
        <v>5668</v>
      </c>
      <c r="Q77" s="443">
        <f t="shared" si="22"/>
        <v>2181</v>
      </c>
      <c r="R77" s="100">
        <f t="shared" si="21"/>
        <v>3487</v>
      </c>
      <c r="S77" s="443">
        <f t="shared" si="20"/>
        <v>3487</v>
      </c>
    </row>
    <row r="78" s="196" customFormat="1" ht="16.9" customHeight="1" spans="1:19">
      <c r="A78" s="183" t="s">
        <v>526</v>
      </c>
      <c r="B78" s="182" t="s">
        <v>292</v>
      </c>
      <c r="C78" s="510">
        <v>4874</v>
      </c>
      <c r="D78" s="100">
        <f t="shared" ref="D78:D83" si="23">SUM(E78:O78)</f>
        <v>2</v>
      </c>
      <c r="E78" s="506"/>
      <c r="F78" s="100"/>
      <c r="G78" s="506"/>
      <c r="H78" s="506"/>
      <c r="I78" s="506"/>
      <c r="J78" s="515"/>
      <c r="K78" s="100"/>
      <c r="L78" s="100"/>
      <c r="M78" s="100"/>
      <c r="N78" s="100"/>
      <c r="O78" s="100">
        <v>2</v>
      </c>
      <c r="P78" s="100">
        <f t="shared" ref="P78:P83" si="24">C78+D78</f>
        <v>4876</v>
      </c>
      <c r="Q78" s="100">
        <v>1670</v>
      </c>
      <c r="R78" s="100">
        <f t="shared" si="21"/>
        <v>3206</v>
      </c>
      <c r="S78" s="443">
        <f t="shared" si="20"/>
        <v>3206</v>
      </c>
    </row>
    <row r="79" s="196" customFormat="1" ht="16.9" customHeight="1" spans="1:19">
      <c r="A79" s="183" t="s">
        <v>527</v>
      </c>
      <c r="B79" s="182" t="s">
        <v>293</v>
      </c>
      <c r="C79" s="510">
        <v>333</v>
      </c>
      <c r="D79" s="100">
        <f t="shared" si="23"/>
        <v>-107</v>
      </c>
      <c r="E79" s="506"/>
      <c r="F79" s="100">
        <v>-107</v>
      </c>
      <c r="G79" s="506"/>
      <c r="H79" s="506"/>
      <c r="I79" s="506"/>
      <c r="J79" s="515"/>
      <c r="K79" s="100"/>
      <c r="L79" s="100"/>
      <c r="M79" s="100"/>
      <c r="N79" s="100"/>
      <c r="O79" s="100"/>
      <c r="P79" s="100">
        <f t="shared" si="24"/>
        <v>226</v>
      </c>
      <c r="Q79" s="100">
        <v>71</v>
      </c>
      <c r="R79" s="100">
        <f t="shared" si="21"/>
        <v>155</v>
      </c>
      <c r="S79" s="443">
        <f t="shared" si="20"/>
        <v>155</v>
      </c>
    </row>
    <row r="80" s="196" customFormat="1" ht="16.9" customHeight="1" spans="1:19">
      <c r="A80" s="183" t="s">
        <v>528</v>
      </c>
      <c r="B80" s="182" t="s">
        <v>294</v>
      </c>
      <c r="C80" s="510">
        <v>16</v>
      </c>
      <c r="D80" s="100">
        <f t="shared" si="23"/>
        <v>7</v>
      </c>
      <c r="E80" s="506"/>
      <c r="F80" s="507">
        <v>7</v>
      </c>
      <c r="G80" s="506"/>
      <c r="H80" s="506"/>
      <c r="I80" s="506"/>
      <c r="J80" s="100"/>
      <c r="K80" s="100"/>
      <c r="L80" s="100"/>
      <c r="M80" s="100"/>
      <c r="N80" s="100"/>
      <c r="O80" s="100"/>
      <c r="P80" s="100">
        <f t="shared" si="24"/>
        <v>23</v>
      </c>
      <c r="Q80" s="100">
        <v>23</v>
      </c>
      <c r="R80" s="100">
        <f t="shared" si="21"/>
        <v>0</v>
      </c>
      <c r="S80" s="443">
        <f t="shared" si="20"/>
        <v>0</v>
      </c>
    </row>
    <row r="81" s="196" customFormat="1" ht="16.9" customHeight="1" spans="1:19">
      <c r="A81" s="183" t="s">
        <v>529</v>
      </c>
      <c r="B81" s="609" t="s">
        <v>295</v>
      </c>
      <c r="C81" s="510">
        <v>24</v>
      </c>
      <c r="D81" s="100">
        <f t="shared" si="23"/>
        <v>39</v>
      </c>
      <c r="E81" s="506"/>
      <c r="F81" s="507">
        <v>39</v>
      </c>
      <c r="G81" s="506"/>
      <c r="H81" s="506"/>
      <c r="I81" s="506"/>
      <c r="J81" s="100"/>
      <c r="K81" s="100"/>
      <c r="L81" s="100"/>
      <c r="M81" s="100"/>
      <c r="N81" s="100"/>
      <c r="O81" s="100"/>
      <c r="P81" s="100">
        <f t="shared" si="24"/>
        <v>63</v>
      </c>
      <c r="Q81" s="100">
        <v>37</v>
      </c>
      <c r="R81" s="100">
        <f t="shared" si="21"/>
        <v>26</v>
      </c>
      <c r="S81" s="443">
        <f t="shared" si="20"/>
        <v>26</v>
      </c>
    </row>
    <row r="82" s="196" customFormat="1" ht="16.9" customHeight="1" spans="1:19">
      <c r="A82" s="183" t="s">
        <v>530</v>
      </c>
      <c r="B82" s="609" t="s">
        <v>296</v>
      </c>
      <c r="C82" s="510">
        <v>427</v>
      </c>
      <c r="D82" s="100">
        <f t="shared" si="23"/>
        <v>38</v>
      </c>
      <c r="E82" s="506"/>
      <c r="F82" s="507">
        <v>38</v>
      </c>
      <c r="G82" s="506"/>
      <c r="H82" s="506"/>
      <c r="I82" s="506"/>
      <c r="J82" s="100"/>
      <c r="K82" s="100"/>
      <c r="L82" s="100"/>
      <c r="M82" s="100"/>
      <c r="N82" s="100"/>
      <c r="O82" s="100"/>
      <c r="P82" s="100">
        <f t="shared" si="24"/>
        <v>465</v>
      </c>
      <c r="Q82" s="100">
        <v>380</v>
      </c>
      <c r="R82" s="100">
        <f t="shared" si="21"/>
        <v>85</v>
      </c>
      <c r="S82" s="443">
        <f t="shared" si="20"/>
        <v>85</v>
      </c>
    </row>
    <row r="83" s="196" customFormat="1" ht="16.9" customHeight="1" spans="1:19">
      <c r="A83" s="183" t="s">
        <v>531</v>
      </c>
      <c r="B83" s="182" t="s">
        <v>297</v>
      </c>
      <c r="C83" s="510">
        <v>4</v>
      </c>
      <c r="D83" s="100">
        <f t="shared" si="23"/>
        <v>11</v>
      </c>
      <c r="E83" s="506"/>
      <c r="F83" s="507">
        <v>11</v>
      </c>
      <c r="G83" s="506"/>
      <c r="H83" s="506"/>
      <c r="I83" s="506"/>
      <c r="J83" s="100"/>
      <c r="K83" s="100"/>
      <c r="L83" s="100"/>
      <c r="M83" s="100"/>
      <c r="N83" s="100"/>
      <c r="O83" s="100"/>
      <c r="P83" s="100">
        <f t="shared" si="24"/>
        <v>15</v>
      </c>
      <c r="Q83" s="100"/>
      <c r="R83" s="100">
        <f t="shared" si="21"/>
        <v>15</v>
      </c>
      <c r="S83" s="443">
        <f t="shared" si="20"/>
        <v>15</v>
      </c>
    </row>
    <row r="84" s="403" customFormat="1" ht="16.9" customHeight="1" spans="1:19">
      <c r="A84" s="504" t="s">
        <v>532</v>
      </c>
      <c r="B84" s="505" t="s">
        <v>298</v>
      </c>
      <c r="C84" s="443">
        <f t="shared" ref="C84:Q84" si="25">SUM(C85:C105)</f>
        <v>59456</v>
      </c>
      <c r="D84" s="443">
        <f t="shared" si="25"/>
        <v>6520</v>
      </c>
      <c r="E84" s="443">
        <f t="shared" si="25"/>
        <v>-12571</v>
      </c>
      <c r="F84" s="443">
        <f t="shared" si="25"/>
        <v>17545</v>
      </c>
      <c r="G84" s="443">
        <f t="shared" si="25"/>
        <v>0</v>
      </c>
      <c r="H84" s="443">
        <f t="shared" si="25"/>
        <v>0</v>
      </c>
      <c r="I84" s="443">
        <f t="shared" si="25"/>
        <v>1538</v>
      </c>
      <c r="J84" s="443">
        <f t="shared" si="25"/>
        <v>0</v>
      </c>
      <c r="K84" s="443">
        <f t="shared" si="25"/>
        <v>0</v>
      </c>
      <c r="L84" s="443">
        <f t="shared" si="25"/>
        <v>27</v>
      </c>
      <c r="M84" s="443">
        <f t="shared" si="25"/>
        <v>0</v>
      </c>
      <c r="N84" s="443">
        <f t="shared" si="25"/>
        <v>0</v>
      </c>
      <c r="O84" s="443">
        <f t="shared" si="25"/>
        <v>-19</v>
      </c>
      <c r="P84" s="443">
        <f t="shared" si="25"/>
        <v>65976</v>
      </c>
      <c r="Q84" s="443">
        <f t="shared" si="25"/>
        <v>59901</v>
      </c>
      <c r="R84" s="100">
        <f t="shared" si="21"/>
        <v>6075</v>
      </c>
      <c r="S84" s="443">
        <f t="shared" si="20"/>
        <v>6075</v>
      </c>
    </row>
    <row r="85" s="196" customFormat="1" ht="16.9" customHeight="1" spans="1:19">
      <c r="A85" s="183" t="s">
        <v>533</v>
      </c>
      <c r="B85" s="182" t="s">
        <v>299</v>
      </c>
      <c r="C85" s="510">
        <v>4171</v>
      </c>
      <c r="D85" s="100">
        <f t="shared" ref="D85:D105" si="26">SUM(E85:O85)</f>
        <v>-398</v>
      </c>
      <c r="E85" s="506"/>
      <c r="F85" s="100">
        <v>-425</v>
      </c>
      <c r="G85" s="506"/>
      <c r="H85" s="506"/>
      <c r="I85" s="506"/>
      <c r="J85" s="515"/>
      <c r="K85" s="100"/>
      <c r="L85" s="517">
        <v>27</v>
      </c>
      <c r="M85" s="100"/>
      <c r="N85" s="100"/>
      <c r="O85" s="100"/>
      <c r="P85" s="100">
        <f t="shared" ref="P85:P105" si="27">C85+D85</f>
        <v>3773</v>
      </c>
      <c r="Q85" s="100">
        <v>3710</v>
      </c>
      <c r="R85" s="100">
        <f t="shared" si="21"/>
        <v>63</v>
      </c>
      <c r="S85" s="443">
        <f t="shared" si="20"/>
        <v>63</v>
      </c>
    </row>
    <row r="86" s="196" customFormat="1" ht="16.9" customHeight="1" spans="1:19">
      <c r="A86" s="183" t="s">
        <v>534</v>
      </c>
      <c r="B86" s="182" t="s">
        <v>300</v>
      </c>
      <c r="C86" s="510">
        <v>596</v>
      </c>
      <c r="D86" s="100">
        <f t="shared" si="26"/>
        <v>241</v>
      </c>
      <c r="E86" s="506"/>
      <c r="F86" s="507">
        <v>241</v>
      </c>
      <c r="G86" s="506"/>
      <c r="H86" s="506"/>
      <c r="I86" s="506"/>
      <c r="J86" s="100"/>
      <c r="K86" s="100"/>
      <c r="L86" s="100"/>
      <c r="M86" s="100"/>
      <c r="N86" s="100"/>
      <c r="O86" s="100"/>
      <c r="P86" s="100">
        <f t="shared" si="27"/>
        <v>837</v>
      </c>
      <c r="Q86" s="100">
        <v>592</v>
      </c>
      <c r="R86" s="100">
        <f t="shared" si="21"/>
        <v>245</v>
      </c>
      <c r="S86" s="443">
        <f t="shared" si="20"/>
        <v>245</v>
      </c>
    </row>
    <row r="87" s="196" customFormat="1" ht="17.25" customHeight="1" spans="1:19">
      <c r="A87" s="183" t="s">
        <v>535</v>
      </c>
      <c r="B87" s="182" t="s">
        <v>301</v>
      </c>
      <c r="C87" s="510"/>
      <c r="D87" s="100">
        <f t="shared" si="26"/>
        <v>0</v>
      </c>
      <c r="E87" s="506"/>
      <c r="F87" s="507"/>
      <c r="G87" s="506"/>
      <c r="H87" s="506"/>
      <c r="I87" s="506"/>
      <c r="J87" s="100"/>
      <c r="K87" s="100"/>
      <c r="L87" s="100"/>
      <c r="M87" s="100"/>
      <c r="N87" s="100"/>
      <c r="O87" s="100"/>
      <c r="P87" s="100">
        <f t="shared" si="27"/>
        <v>0</v>
      </c>
      <c r="Q87" s="100"/>
      <c r="R87" s="100">
        <f t="shared" si="21"/>
        <v>0</v>
      </c>
      <c r="S87" s="443">
        <f t="shared" si="20"/>
        <v>0</v>
      </c>
    </row>
    <row r="88" s="196" customFormat="1" ht="17.25" customHeight="1" spans="1:19">
      <c r="A88" s="183" t="s">
        <v>536</v>
      </c>
      <c r="B88" s="182" t="s">
        <v>537</v>
      </c>
      <c r="C88" s="510">
        <v>28695</v>
      </c>
      <c r="D88" s="100">
        <f t="shared" si="26"/>
        <v>-4533</v>
      </c>
      <c r="E88" s="506">
        <f>-12656+86</f>
        <v>-12570</v>
      </c>
      <c r="F88" s="507">
        <v>8037</v>
      </c>
      <c r="G88" s="506"/>
      <c r="H88" s="506"/>
      <c r="I88" s="506"/>
      <c r="J88" s="100"/>
      <c r="K88" s="100"/>
      <c r="L88" s="100"/>
      <c r="M88" s="100"/>
      <c r="N88" s="100"/>
      <c r="O88" s="100"/>
      <c r="P88" s="100">
        <f t="shared" si="27"/>
        <v>24162</v>
      </c>
      <c r="Q88" s="100">
        <v>24162</v>
      </c>
      <c r="R88" s="100">
        <f t="shared" si="21"/>
        <v>0</v>
      </c>
      <c r="S88" s="443">
        <f t="shared" si="20"/>
        <v>0</v>
      </c>
    </row>
    <row r="89" s="196" customFormat="1" ht="17.25" customHeight="1" spans="1:19">
      <c r="A89" s="183" t="s">
        <v>538</v>
      </c>
      <c r="B89" s="182" t="s">
        <v>303</v>
      </c>
      <c r="C89" s="510"/>
      <c r="D89" s="100">
        <f t="shared" si="26"/>
        <v>0</v>
      </c>
      <c r="E89" s="506"/>
      <c r="F89" s="507"/>
      <c r="G89" s="506"/>
      <c r="H89" s="506"/>
      <c r="I89" s="506"/>
      <c r="J89" s="100"/>
      <c r="K89" s="100"/>
      <c r="L89" s="100"/>
      <c r="M89" s="100"/>
      <c r="N89" s="100"/>
      <c r="O89" s="100"/>
      <c r="P89" s="100">
        <f t="shared" si="27"/>
        <v>0</v>
      </c>
      <c r="Q89" s="100"/>
      <c r="R89" s="100">
        <f t="shared" si="21"/>
        <v>0</v>
      </c>
      <c r="S89" s="443">
        <f t="shared" si="20"/>
        <v>0</v>
      </c>
    </row>
    <row r="90" s="196" customFormat="1" ht="17.25" customHeight="1" spans="1:19">
      <c r="A90" s="183" t="s">
        <v>539</v>
      </c>
      <c r="B90" s="182" t="s">
        <v>304</v>
      </c>
      <c r="C90" s="510">
        <v>1285</v>
      </c>
      <c r="D90" s="100">
        <f t="shared" si="26"/>
        <v>832</v>
      </c>
      <c r="E90" s="506"/>
      <c r="F90" s="507">
        <v>831</v>
      </c>
      <c r="G90" s="506"/>
      <c r="H90" s="506"/>
      <c r="I90" s="506"/>
      <c r="J90" s="100"/>
      <c r="K90" s="100"/>
      <c r="L90" s="100"/>
      <c r="M90" s="100"/>
      <c r="N90" s="100"/>
      <c r="O90" s="100">
        <v>1</v>
      </c>
      <c r="P90" s="100">
        <f t="shared" si="27"/>
        <v>2117</v>
      </c>
      <c r="Q90" s="100">
        <v>1561</v>
      </c>
      <c r="R90" s="100">
        <f t="shared" si="21"/>
        <v>556</v>
      </c>
      <c r="S90" s="443">
        <f t="shared" si="20"/>
        <v>556</v>
      </c>
    </row>
    <row r="91" s="196" customFormat="1" ht="17.25" customHeight="1" spans="1:19">
      <c r="A91" s="183" t="s">
        <v>540</v>
      </c>
      <c r="B91" s="182" t="s">
        <v>305</v>
      </c>
      <c r="C91" s="510">
        <v>1655</v>
      </c>
      <c r="D91" s="100">
        <f t="shared" si="26"/>
        <v>525</v>
      </c>
      <c r="E91" s="506"/>
      <c r="F91" s="507">
        <v>531</v>
      </c>
      <c r="G91" s="506"/>
      <c r="H91" s="506"/>
      <c r="I91" s="506"/>
      <c r="J91" s="100"/>
      <c r="K91" s="100"/>
      <c r="L91" s="100"/>
      <c r="M91" s="100"/>
      <c r="N91" s="100"/>
      <c r="O91" s="100">
        <v>-6</v>
      </c>
      <c r="P91" s="100">
        <f t="shared" si="27"/>
        <v>2180</v>
      </c>
      <c r="Q91" s="100">
        <v>2131</v>
      </c>
      <c r="R91" s="100">
        <f t="shared" si="21"/>
        <v>49</v>
      </c>
      <c r="S91" s="443">
        <f t="shared" si="20"/>
        <v>49</v>
      </c>
    </row>
    <row r="92" s="196" customFormat="1" ht="16.9" customHeight="1" spans="1:19">
      <c r="A92" s="183" t="s">
        <v>541</v>
      </c>
      <c r="B92" s="182" t="s">
        <v>306</v>
      </c>
      <c r="C92" s="510">
        <v>119</v>
      </c>
      <c r="D92" s="100">
        <f t="shared" si="26"/>
        <v>142</v>
      </c>
      <c r="E92" s="506"/>
      <c r="F92" s="507">
        <v>143</v>
      </c>
      <c r="G92" s="506"/>
      <c r="H92" s="506"/>
      <c r="I92" s="506"/>
      <c r="J92" s="100"/>
      <c r="K92" s="100"/>
      <c r="L92" s="100"/>
      <c r="M92" s="100"/>
      <c r="N92" s="100"/>
      <c r="O92" s="100">
        <v>-1</v>
      </c>
      <c r="P92" s="100">
        <f t="shared" si="27"/>
        <v>261</v>
      </c>
      <c r="Q92" s="100">
        <v>203</v>
      </c>
      <c r="R92" s="100">
        <f t="shared" si="21"/>
        <v>58</v>
      </c>
      <c r="S92" s="443">
        <f t="shared" si="20"/>
        <v>58</v>
      </c>
    </row>
    <row r="93" s="196" customFormat="1" ht="16.9" customHeight="1" spans="1:19">
      <c r="A93" s="183" t="s">
        <v>542</v>
      </c>
      <c r="B93" s="182" t="s">
        <v>307</v>
      </c>
      <c r="C93" s="510">
        <v>888</v>
      </c>
      <c r="D93" s="100">
        <f t="shared" si="26"/>
        <v>150</v>
      </c>
      <c r="E93" s="506"/>
      <c r="F93" s="507">
        <v>150</v>
      </c>
      <c r="G93" s="506"/>
      <c r="H93" s="506"/>
      <c r="I93" s="506"/>
      <c r="J93" s="100"/>
      <c r="K93" s="100"/>
      <c r="L93" s="100"/>
      <c r="M93" s="100"/>
      <c r="N93" s="100"/>
      <c r="O93" s="100"/>
      <c r="P93" s="100">
        <f t="shared" si="27"/>
        <v>1038</v>
      </c>
      <c r="Q93" s="100">
        <v>930</v>
      </c>
      <c r="R93" s="100">
        <f t="shared" si="21"/>
        <v>108</v>
      </c>
      <c r="S93" s="443">
        <f t="shared" si="20"/>
        <v>108</v>
      </c>
    </row>
    <row r="94" s="196" customFormat="1" ht="16.9" customHeight="1" spans="1:19">
      <c r="A94" s="183" t="s">
        <v>543</v>
      </c>
      <c r="B94" s="182" t="s">
        <v>308</v>
      </c>
      <c r="C94" s="510">
        <v>628</v>
      </c>
      <c r="D94" s="100">
        <f t="shared" si="26"/>
        <v>1138</v>
      </c>
      <c r="E94" s="506"/>
      <c r="F94" s="507">
        <v>1138</v>
      </c>
      <c r="G94" s="506"/>
      <c r="H94" s="506"/>
      <c r="I94" s="506"/>
      <c r="J94" s="100"/>
      <c r="K94" s="100"/>
      <c r="L94" s="100"/>
      <c r="M94" s="100"/>
      <c r="N94" s="100"/>
      <c r="O94" s="100"/>
      <c r="P94" s="100">
        <f t="shared" si="27"/>
        <v>1766</v>
      </c>
      <c r="Q94" s="100">
        <v>1493</v>
      </c>
      <c r="R94" s="100">
        <f t="shared" si="21"/>
        <v>273</v>
      </c>
      <c r="S94" s="443">
        <f t="shared" si="20"/>
        <v>273</v>
      </c>
    </row>
    <row r="95" s="196" customFormat="1" ht="16.9" customHeight="1" spans="1:19">
      <c r="A95" s="183" t="s">
        <v>544</v>
      </c>
      <c r="B95" s="182" t="s">
        <v>309</v>
      </c>
      <c r="C95" s="510">
        <v>69</v>
      </c>
      <c r="D95" s="100">
        <f t="shared" si="26"/>
        <v>-19</v>
      </c>
      <c r="E95" s="506"/>
      <c r="F95" s="100"/>
      <c r="G95" s="506"/>
      <c r="H95" s="506"/>
      <c r="I95" s="506"/>
      <c r="J95" s="515">
        <v>-19</v>
      </c>
      <c r="K95" s="100"/>
      <c r="L95" s="100"/>
      <c r="M95" s="100"/>
      <c r="N95" s="100"/>
      <c r="O95" s="100"/>
      <c r="P95" s="100">
        <f t="shared" si="27"/>
        <v>50</v>
      </c>
      <c r="Q95" s="100">
        <v>50</v>
      </c>
      <c r="R95" s="100">
        <f t="shared" si="21"/>
        <v>0</v>
      </c>
      <c r="S95" s="443">
        <f t="shared" si="20"/>
        <v>0</v>
      </c>
    </row>
    <row r="96" s="196" customFormat="1" ht="16.9" customHeight="1" spans="1:19">
      <c r="A96" s="183" t="s">
        <v>545</v>
      </c>
      <c r="B96" s="609" t="s">
        <v>310</v>
      </c>
      <c r="C96" s="510">
        <v>9148</v>
      </c>
      <c r="D96" s="100">
        <f t="shared" si="26"/>
        <v>2237</v>
      </c>
      <c r="E96" s="506"/>
      <c r="F96" s="507">
        <v>2237</v>
      </c>
      <c r="G96" s="506"/>
      <c r="H96" s="506"/>
      <c r="I96" s="506"/>
      <c r="J96" s="100"/>
      <c r="K96" s="100"/>
      <c r="L96" s="100"/>
      <c r="M96" s="100"/>
      <c r="N96" s="100"/>
      <c r="O96" s="100"/>
      <c r="P96" s="100">
        <f t="shared" si="27"/>
        <v>11385</v>
      </c>
      <c r="Q96" s="100">
        <v>11385</v>
      </c>
      <c r="R96" s="100">
        <f t="shared" si="21"/>
        <v>0</v>
      </c>
      <c r="S96" s="443">
        <f t="shared" si="20"/>
        <v>0</v>
      </c>
    </row>
    <row r="97" s="196" customFormat="1" ht="16.9" customHeight="1" spans="1:19">
      <c r="A97" s="183" t="s">
        <v>546</v>
      </c>
      <c r="B97" s="609" t="s">
        <v>311</v>
      </c>
      <c r="C97" s="510">
        <v>37</v>
      </c>
      <c r="D97" s="100">
        <f t="shared" si="26"/>
        <v>155</v>
      </c>
      <c r="E97" s="506"/>
      <c r="F97" s="507">
        <v>155</v>
      </c>
      <c r="G97" s="506"/>
      <c r="H97" s="506"/>
      <c r="I97" s="506"/>
      <c r="J97" s="100"/>
      <c r="K97" s="100"/>
      <c r="L97" s="100"/>
      <c r="M97" s="100"/>
      <c r="N97" s="100"/>
      <c r="O97" s="100"/>
      <c r="P97" s="100">
        <f t="shared" si="27"/>
        <v>192</v>
      </c>
      <c r="Q97" s="100">
        <v>146</v>
      </c>
      <c r="R97" s="100">
        <f t="shared" si="21"/>
        <v>46</v>
      </c>
      <c r="S97" s="443">
        <f t="shared" si="20"/>
        <v>46</v>
      </c>
    </row>
    <row r="98" s="196" customFormat="1" ht="16.9" customHeight="1" spans="1:19">
      <c r="A98" s="183" t="s">
        <v>547</v>
      </c>
      <c r="B98" s="609" t="s">
        <v>312</v>
      </c>
      <c r="C98" s="510"/>
      <c r="D98" s="100">
        <f t="shared" si="26"/>
        <v>1879</v>
      </c>
      <c r="E98" s="506"/>
      <c r="F98" s="507">
        <v>1879</v>
      </c>
      <c r="G98" s="506"/>
      <c r="H98" s="506"/>
      <c r="I98" s="506"/>
      <c r="J98" s="100"/>
      <c r="K98" s="100"/>
      <c r="L98" s="100"/>
      <c r="M98" s="100"/>
      <c r="N98" s="100"/>
      <c r="O98" s="100"/>
      <c r="P98" s="100">
        <f t="shared" si="27"/>
        <v>1879</v>
      </c>
      <c r="Q98" s="100">
        <v>1879</v>
      </c>
      <c r="R98" s="100">
        <f t="shared" si="21"/>
        <v>0</v>
      </c>
      <c r="S98" s="443">
        <f t="shared" si="20"/>
        <v>0</v>
      </c>
    </row>
    <row r="99" s="196" customFormat="1" ht="16.9" customHeight="1" spans="1:19">
      <c r="A99" s="183" t="s">
        <v>548</v>
      </c>
      <c r="B99" s="609" t="s">
        <v>313</v>
      </c>
      <c r="C99" s="510"/>
      <c r="D99" s="100">
        <f t="shared" si="26"/>
        <v>0</v>
      </c>
      <c r="E99" s="506"/>
      <c r="F99" s="507"/>
      <c r="G99" s="506"/>
      <c r="H99" s="506"/>
      <c r="I99" s="506"/>
      <c r="J99" s="100"/>
      <c r="K99" s="100"/>
      <c r="L99" s="100"/>
      <c r="M99" s="100"/>
      <c r="N99" s="100"/>
      <c r="O99" s="100"/>
      <c r="P99" s="100">
        <f t="shared" si="27"/>
        <v>0</v>
      </c>
      <c r="Q99" s="100"/>
      <c r="R99" s="100">
        <f t="shared" si="21"/>
        <v>0</v>
      </c>
      <c r="S99" s="443">
        <f t="shared" si="20"/>
        <v>0</v>
      </c>
    </row>
    <row r="100" s="196" customFormat="1" ht="16.9" customHeight="1" spans="1:19">
      <c r="A100" s="183" t="s">
        <v>549</v>
      </c>
      <c r="B100" s="182" t="s">
        <v>314</v>
      </c>
      <c r="C100" s="510">
        <v>11</v>
      </c>
      <c r="D100" s="100">
        <f t="shared" si="26"/>
        <v>235</v>
      </c>
      <c r="E100" s="506">
        <v>-1</v>
      </c>
      <c r="F100" s="507">
        <v>236</v>
      </c>
      <c r="G100" s="506"/>
      <c r="H100" s="506"/>
      <c r="I100" s="506"/>
      <c r="J100" s="100"/>
      <c r="K100" s="100"/>
      <c r="L100" s="100"/>
      <c r="M100" s="100"/>
      <c r="N100" s="100"/>
      <c r="O100" s="100"/>
      <c r="P100" s="100">
        <f t="shared" si="27"/>
        <v>246</v>
      </c>
      <c r="Q100" s="100">
        <v>246</v>
      </c>
      <c r="R100" s="100">
        <f t="shared" si="21"/>
        <v>0</v>
      </c>
      <c r="S100" s="443">
        <f t="shared" si="20"/>
        <v>0</v>
      </c>
    </row>
    <row r="101" s="196" customFormat="1" ht="16.9" customHeight="1" spans="1:19">
      <c r="A101" s="183" t="s">
        <v>550</v>
      </c>
      <c r="B101" s="609" t="s">
        <v>315</v>
      </c>
      <c r="C101" s="510">
        <v>8081</v>
      </c>
      <c r="D101" s="100">
        <f t="shared" si="26"/>
        <v>2288</v>
      </c>
      <c r="E101" s="506"/>
      <c r="F101" s="507">
        <v>2288</v>
      </c>
      <c r="G101" s="506"/>
      <c r="H101" s="506"/>
      <c r="I101" s="506"/>
      <c r="J101" s="100"/>
      <c r="K101" s="100"/>
      <c r="L101" s="100"/>
      <c r="M101" s="100"/>
      <c r="N101" s="100"/>
      <c r="O101" s="100"/>
      <c r="P101" s="100">
        <f t="shared" si="27"/>
        <v>10369</v>
      </c>
      <c r="Q101" s="100">
        <v>6468</v>
      </c>
      <c r="R101" s="100">
        <f t="shared" si="21"/>
        <v>3901</v>
      </c>
      <c r="S101" s="443">
        <f t="shared" si="20"/>
        <v>3901</v>
      </c>
    </row>
    <row r="102" s="196" customFormat="1" ht="16.9" customHeight="1" spans="1:19">
      <c r="A102" s="183" t="s">
        <v>551</v>
      </c>
      <c r="B102" s="609" t="s">
        <v>316</v>
      </c>
      <c r="C102" s="510"/>
      <c r="D102" s="100">
        <f t="shared" si="26"/>
        <v>0</v>
      </c>
      <c r="E102" s="506"/>
      <c r="F102" s="507"/>
      <c r="G102" s="506"/>
      <c r="H102" s="506"/>
      <c r="I102" s="506"/>
      <c r="J102" s="100"/>
      <c r="K102" s="100"/>
      <c r="L102" s="100"/>
      <c r="M102" s="100"/>
      <c r="N102" s="100"/>
      <c r="O102" s="100"/>
      <c r="P102" s="100">
        <f t="shared" si="27"/>
        <v>0</v>
      </c>
      <c r="Q102" s="100"/>
      <c r="R102" s="100">
        <f t="shared" si="21"/>
        <v>0</v>
      </c>
      <c r="S102" s="443">
        <f t="shared" si="20"/>
        <v>0</v>
      </c>
    </row>
    <row r="103" s="196" customFormat="1" ht="16.9" customHeight="1" spans="1:19">
      <c r="A103" s="183" t="s">
        <v>552</v>
      </c>
      <c r="B103" s="609" t="s">
        <v>317</v>
      </c>
      <c r="C103" s="510">
        <v>433</v>
      </c>
      <c r="D103" s="100">
        <f t="shared" si="26"/>
        <v>104</v>
      </c>
      <c r="E103" s="506"/>
      <c r="F103" s="507">
        <v>104</v>
      </c>
      <c r="G103" s="506"/>
      <c r="H103" s="506"/>
      <c r="I103" s="506"/>
      <c r="J103" s="100"/>
      <c r="K103" s="100"/>
      <c r="L103" s="100"/>
      <c r="M103" s="100"/>
      <c r="N103" s="100"/>
      <c r="O103" s="100"/>
      <c r="P103" s="100">
        <f t="shared" si="27"/>
        <v>537</v>
      </c>
      <c r="Q103" s="100">
        <v>431</v>
      </c>
      <c r="R103" s="100">
        <f t="shared" si="21"/>
        <v>106</v>
      </c>
      <c r="S103" s="443">
        <f t="shared" si="20"/>
        <v>106</v>
      </c>
    </row>
    <row r="104" s="196" customFormat="1" ht="16.9" customHeight="1" spans="1:19">
      <c r="A104" s="610" t="s">
        <v>553</v>
      </c>
      <c r="B104" s="609" t="s">
        <v>554</v>
      </c>
      <c r="C104" s="510">
        <v>1956</v>
      </c>
      <c r="D104" s="100">
        <f t="shared" si="26"/>
        <v>1525</v>
      </c>
      <c r="E104" s="506"/>
      <c r="F104" s="507"/>
      <c r="G104" s="506"/>
      <c r="H104" s="506"/>
      <c r="I104" s="506">
        <v>1538</v>
      </c>
      <c r="J104" s="100"/>
      <c r="K104" s="100"/>
      <c r="L104" s="100"/>
      <c r="M104" s="100"/>
      <c r="N104" s="100"/>
      <c r="O104" s="100">
        <v>-13</v>
      </c>
      <c r="P104" s="100">
        <f t="shared" si="27"/>
        <v>3481</v>
      </c>
      <c r="Q104" s="100">
        <v>3462</v>
      </c>
      <c r="R104" s="100">
        <f t="shared" si="21"/>
        <v>19</v>
      </c>
      <c r="S104" s="443">
        <f t="shared" si="20"/>
        <v>19</v>
      </c>
    </row>
    <row r="105" s="196" customFormat="1" ht="16.9" customHeight="1" spans="1:19">
      <c r="A105" s="183" t="s">
        <v>555</v>
      </c>
      <c r="B105" s="182" t="s">
        <v>319</v>
      </c>
      <c r="C105" s="510">
        <v>1684</v>
      </c>
      <c r="D105" s="100">
        <f t="shared" si="26"/>
        <v>19</v>
      </c>
      <c r="E105" s="506"/>
      <c r="F105" s="100"/>
      <c r="G105" s="506"/>
      <c r="H105" s="506"/>
      <c r="I105" s="506"/>
      <c r="J105" s="515">
        <v>19</v>
      </c>
      <c r="K105" s="100"/>
      <c r="L105" s="100"/>
      <c r="M105" s="100"/>
      <c r="N105" s="100"/>
      <c r="O105" s="100"/>
      <c r="P105" s="100">
        <f t="shared" si="27"/>
        <v>1703</v>
      </c>
      <c r="Q105" s="100">
        <v>1052</v>
      </c>
      <c r="R105" s="100">
        <f t="shared" si="21"/>
        <v>651</v>
      </c>
      <c r="S105" s="443">
        <f t="shared" si="20"/>
        <v>651</v>
      </c>
    </row>
    <row r="106" s="403" customFormat="1" ht="16.9" customHeight="1" spans="1:19">
      <c r="A106" s="504" t="s">
        <v>556</v>
      </c>
      <c r="B106" s="505" t="s">
        <v>320</v>
      </c>
      <c r="C106" s="443">
        <f t="shared" ref="C106:Q106" si="28">SUM(C107:C120)</f>
        <v>26022</v>
      </c>
      <c r="D106" s="443">
        <f t="shared" si="28"/>
        <v>1496</v>
      </c>
      <c r="E106" s="443">
        <f t="shared" si="28"/>
        <v>-3496</v>
      </c>
      <c r="F106" s="443">
        <f t="shared" si="28"/>
        <v>4996</v>
      </c>
      <c r="G106" s="443">
        <f t="shared" si="28"/>
        <v>0</v>
      </c>
      <c r="H106" s="443">
        <f t="shared" si="28"/>
        <v>0</v>
      </c>
      <c r="I106" s="443">
        <f t="shared" si="28"/>
        <v>0</v>
      </c>
      <c r="J106" s="443">
        <f t="shared" si="28"/>
        <v>0</v>
      </c>
      <c r="K106" s="443">
        <f t="shared" si="28"/>
        <v>0</v>
      </c>
      <c r="L106" s="443">
        <f t="shared" si="28"/>
        <v>0</v>
      </c>
      <c r="M106" s="443">
        <f t="shared" si="28"/>
        <v>0</v>
      </c>
      <c r="N106" s="443">
        <f t="shared" si="28"/>
        <v>0</v>
      </c>
      <c r="O106" s="443">
        <f t="shared" si="28"/>
        <v>-4</v>
      </c>
      <c r="P106" s="443">
        <f t="shared" si="28"/>
        <v>27518</v>
      </c>
      <c r="Q106" s="443">
        <f t="shared" si="28"/>
        <v>24138</v>
      </c>
      <c r="R106" s="100">
        <f t="shared" si="21"/>
        <v>3380</v>
      </c>
      <c r="S106" s="443">
        <f t="shared" si="20"/>
        <v>3380</v>
      </c>
    </row>
    <row r="107" s="196" customFormat="1" ht="16.9" customHeight="1" spans="1:19">
      <c r="A107" s="183" t="s">
        <v>557</v>
      </c>
      <c r="B107" s="182" t="s">
        <v>321</v>
      </c>
      <c r="C107" s="510">
        <v>486</v>
      </c>
      <c r="D107" s="100">
        <f t="shared" ref="D107:D120" si="29">SUM(E107:O107)</f>
        <v>-22</v>
      </c>
      <c r="E107" s="506"/>
      <c r="F107" s="100"/>
      <c r="G107" s="506"/>
      <c r="H107" s="506"/>
      <c r="I107" s="506"/>
      <c r="J107" s="515">
        <v>-22</v>
      </c>
      <c r="K107" s="100"/>
      <c r="L107" s="100"/>
      <c r="M107" s="100"/>
      <c r="N107" s="100"/>
      <c r="O107" s="100"/>
      <c r="P107" s="100">
        <f t="shared" ref="P107:P120" si="30">C107+D107</f>
        <v>464</v>
      </c>
      <c r="Q107" s="100">
        <v>464</v>
      </c>
      <c r="R107" s="100">
        <f t="shared" si="21"/>
        <v>0</v>
      </c>
      <c r="S107" s="443">
        <f t="shared" si="20"/>
        <v>0</v>
      </c>
    </row>
    <row r="108" s="196" customFormat="1" ht="16.9" customHeight="1" spans="1:19">
      <c r="A108" s="183" t="s">
        <v>558</v>
      </c>
      <c r="B108" s="182" t="s">
        <v>322</v>
      </c>
      <c r="C108" s="510">
        <v>2440</v>
      </c>
      <c r="D108" s="100">
        <f t="shared" si="29"/>
        <v>27</v>
      </c>
      <c r="E108" s="506"/>
      <c r="F108" s="507">
        <v>38</v>
      </c>
      <c r="G108" s="506"/>
      <c r="H108" s="506"/>
      <c r="I108" s="506"/>
      <c r="J108" s="100"/>
      <c r="K108" s="100"/>
      <c r="L108" s="100"/>
      <c r="M108" s="100"/>
      <c r="N108" s="100"/>
      <c r="O108" s="100">
        <v>-11</v>
      </c>
      <c r="P108" s="100">
        <f t="shared" si="30"/>
        <v>2467</v>
      </c>
      <c r="Q108" s="100">
        <v>2213</v>
      </c>
      <c r="R108" s="100">
        <f t="shared" si="21"/>
        <v>254</v>
      </c>
      <c r="S108" s="443">
        <f t="shared" si="20"/>
        <v>254</v>
      </c>
    </row>
    <row r="109" s="196" customFormat="1" ht="16.9" customHeight="1" spans="1:19">
      <c r="A109" s="183" t="s">
        <v>559</v>
      </c>
      <c r="B109" s="182" t="s">
        <v>323</v>
      </c>
      <c r="C109" s="510">
        <v>3248</v>
      </c>
      <c r="D109" s="100">
        <f t="shared" si="29"/>
        <v>1177</v>
      </c>
      <c r="E109" s="506"/>
      <c r="F109" s="507">
        <v>1223</v>
      </c>
      <c r="G109" s="506"/>
      <c r="H109" s="506"/>
      <c r="I109" s="506"/>
      <c r="J109" s="100"/>
      <c r="K109" s="100"/>
      <c r="L109" s="100"/>
      <c r="M109" s="100"/>
      <c r="N109" s="100"/>
      <c r="O109" s="100">
        <v>-46</v>
      </c>
      <c r="P109" s="100">
        <f t="shared" si="30"/>
        <v>4425</v>
      </c>
      <c r="Q109" s="100">
        <v>3565</v>
      </c>
      <c r="R109" s="100">
        <f t="shared" si="21"/>
        <v>860</v>
      </c>
      <c r="S109" s="443">
        <f t="shared" si="20"/>
        <v>860</v>
      </c>
    </row>
    <row r="110" s="196" customFormat="1" ht="16.9" customHeight="1" spans="1:19">
      <c r="A110" s="183" t="s">
        <v>560</v>
      </c>
      <c r="B110" s="182" t="s">
        <v>324</v>
      </c>
      <c r="C110" s="510">
        <v>4452</v>
      </c>
      <c r="D110" s="100">
        <f t="shared" si="29"/>
        <v>1001</v>
      </c>
      <c r="E110" s="506">
        <v>33</v>
      </c>
      <c r="F110" s="507">
        <v>912</v>
      </c>
      <c r="G110" s="506"/>
      <c r="H110" s="506"/>
      <c r="I110" s="506"/>
      <c r="J110" s="100"/>
      <c r="K110" s="100"/>
      <c r="L110" s="100"/>
      <c r="M110" s="100"/>
      <c r="N110" s="100"/>
      <c r="O110" s="100">
        <v>56</v>
      </c>
      <c r="P110" s="100">
        <f t="shared" si="30"/>
        <v>5453</v>
      </c>
      <c r="Q110" s="100">
        <v>4504</v>
      </c>
      <c r="R110" s="100">
        <f t="shared" si="21"/>
        <v>949</v>
      </c>
      <c r="S110" s="443">
        <f t="shared" si="20"/>
        <v>949</v>
      </c>
    </row>
    <row r="111" s="196" customFormat="1" ht="16.9" customHeight="1" spans="1:19">
      <c r="A111" s="183" t="s">
        <v>561</v>
      </c>
      <c r="B111" s="182" t="s">
        <v>325</v>
      </c>
      <c r="C111" s="510">
        <v>2906</v>
      </c>
      <c r="D111" s="100">
        <f t="shared" si="29"/>
        <v>407</v>
      </c>
      <c r="E111" s="506"/>
      <c r="F111" s="507">
        <v>521</v>
      </c>
      <c r="G111" s="506"/>
      <c r="H111" s="506"/>
      <c r="I111" s="506"/>
      <c r="J111" s="100"/>
      <c r="K111" s="100"/>
      <c r="L111" s="100"/>
      <c r="M111" s="100"/>
      <c r="N111" s="100"/>
      <c r="O111" s="100">
        <v>-114</v>
      </c>
      <c r="P111" s="100">
        <f t="shared" si="30"/>
        <v>3313</v>
      </c>
      <c r="Q111" s="100">
        <v>3161</v>
      </c>
      <c r="R111" s="100">
        <f t="shared" si="21"/>
        <v>152</v>
      </c>
      <c r="S111" s="443">
        <f t="shared" si="20"/>
        <v>152</v>
      </c>
    </row>
    <row r="112" s="196" customFormat="1" ht="16.9" customHeight="1" spans="1:19">
      <c r="A112" s="183" t="s">
        <v>562</v>
      </c>
      <c r="B112" s="182" t="s">
        <v>326</v>
      </c>
      <c r="C112" s="510">
        <v>6595</v>
      </c>
      <c r="D112" s="100">
        <f t="shared" si="29"/>
        <v>-1760</v>
      </c>
      <c r="E112" s="506">
        <f>-3500-29</f>
        <v>-3529</v>
      </c>
      <c r="F112" s="507">
        <v>1533</v>
      </c>
      <c r="G112" s="506"/>
      <c r="H112" s="506"/>
      <c r="I112" s="506"/>
      <c r="J112" s="100"/>
      <c r="K112" s="100"/>
      <c r="L112" s="100"/>
      <c r="M112" s="100"/>
      <c r="N112" s="100"/>
      <c r="O112" s="100">
        <v>236</v>
      </c>
      <c r="P112" s="100">
        <f t="shared" si="30"/>
        <v>4835</v>
      </c>
      <c r="Q112" s="100">
        <v>4835</v>
      </c>
      <c r="R112" s="100">
        <f t="shared" si="21"/>
        <v>0</v>
      </c>
      <c r="S112" s="443">
        <f t="shared" si="20"/>
        <v>0</v>
      </c>
    </row>
    <row r="113" s="196" customFormat="1" ht="16.9" customHeight="1" spans="1:19">
      <c r="A113" s="183" t="s">
        <v>563</v>
      </c>
      <c r="B113" s="609" t="s">
        <v>327</v>
      </c>
      <c r="C113" s="510">
        <v>1024</v>
      </c>
      <c r="D113" s="100">
        <f t="shared" si="29"/>
        <v>56</v>
      </c>
      <c r="E113" s="506"/>
      <c r="F113" s="507">
        <v>56</v>
      </c>
      <c r="G113" s="506"/>
      <c r="H113" s="506"/>
      <c r="I113" s="506"/>
      <c r="J113" s="100"/>
      <c r="K113" s="100"/>
      <c r="L113" s="100"/>
      <c r="M113" s="100"/>
      <c r="N113" s="100"/>
      <c r="O113" s="100"/>
      <c r="P113" s="100">
        <f t="shared" si="30"/>
        <v>1080</v>
      </c>
      <c r="Q113" s="100">
        <v>1080</v>
      </c>
      <c r="R113" s="100">
        <f t="shared" si="21"/>
        <v>0</v>
      </c>
      <c r="S113" s="443">
        <f t="shared" si="20"/>
        <v>0</v>
      </c>
    </row>
    <row r="114" s="196" customFormat="1" ht="16.9" customHeight="1" spans="1:19">
      <c r="A114" s="183" t="s">
        <v>564</v>
      </c>
      <c r="B114" s="609" t="s">
        <v>328</v>
      </c>
      <c r="C114" s="510">
        <v>2428</v>
      </c>
      <c r="D114" s="100">
        <f t="shared" si="29"/>
        <v>948</v>
      </c>
      <c r="E114" s="506"/>
      <c r="F114" s="507">
        <v>1679</v>
      </c>
      <c r="G114" s="506"/>
      <c r="H114" s="506"/>
      <c r="I114" s="506"/>
      <c r="J114" s="100"/>
      <c r="K114" s="100"/>
      <c r="L114" s="100"/>
      <c r="M114" s="100"/>
      <c r="N114" s="100"/>
      <c r="O114" s="100">
        <v>-731</v>
      </c>
      <c r="P114" s="100">
        <f t="shared" si="30"/>
        <v>3376</v>
      </c>
      <c r="Q114" s="100">
        <v>3376</v>
      </c>
      <c r="R114" s="100">
        <f t="shared" si="21"/>
        <v>0</v>
      </c>
      <c r="S114" s="443">
        <f t="shared" si="20"/>
        <v>0</v>
      </c>
    </row>
    <row r="115" s="196" customFormat="1" ht="17.25" customHeight="1" spans="1:19">
      <c r="A115" s="183" t="s">
        <v>565</v>
      </c>
      <c r="B115" s="609" t="s">
        <v>329</v>
      </c>
      <c r="C115" s="510">
        <v>105</v>
      </c>
      <c r="D115" s="100">
        <f t="shared" si="29"/>
        <v>-37</v>
      </c>
      <c r="E115" s="506"/>
      <c r="F115" s="100">
        <v>-693</v>
      </c>
      <c r="G115" s="506"/>
      <c r="H115" s="506"/>
      <c r="I115" s="506"/>
      <c r="J115" s="515">
        <v>-18</v>
      </c>
      <c r="K115" s="100"/>
      <c r="L115" s="100"/>
      <c r="M115" s="100"/>
      <c r="N115" s="100"/>
      <c r="O115" s="100">
        <v>674</v>
      </c>
      <c r="P115" s="100">
        <f t="shared" si="30"/>
        <v>68</v>
      </c>
      <c r="Q115" s="100">
        <v>68</v>
      </c>
      <c r="R115" s="100">
        <f t="shared" si="21"/>
        <v>0</v>
      </c>
      <c r="S115" s="443">
        <f t="shared" si="20"/>
        <v>0</v>
      </c>
    </row>
    <row r="116" s="196" customFormat="1" ht="17.25" customHeight="1" spans="1:19">
      <c r="A116" s="183" t="s">
        <v>566</v>
      </c>
      <c r="B116" s="609" t="s">
        <v>330</v>
      </c>
      <c r="C116" s="510">
        <v>403</v>
      </c>
      <c r="D116" s="100">
        <f t="shared" si="29"/>
        <v>86</v>
      </c>
      <c r="E116" s="506"/>
      <c r="F116" s="507">
        <v>32</v>
      </c>
      <c r="G116" s="506"/>
      <c r="H116" s="506"/>
      <c r="I116" s="506"/>
      <c r="J116" s="100"/>
      <c r="K116" s="100"/>
      <c r="L116" s="100"/>
      <c r="M116" s="100"/>
      <c r="N116" s="100"/>
      <c r="O116" s="100">
        <v>54</v>
      </c>
      <c r="P116" s="100">
        <f t="shared" si="30"/>
        <v>489</v>
      </c>
      <c r="Q116" s="100">
        <v>398</v>
      </c>
      <c r="R116" s="100">
        <f t="shared" si="21"/>
        <v>91</v>
      </c>
      <c r="S116" s="443">
        <f t="shared" si="20"/>
        <v>91</v>
      </c>
    </row>
    <row r="117" s="196" customFormat="1" ht="17.25" customHeight="1" spans="1:19">
      <c r="A117" s="183" t="s">
        <v>567</v>
      </c>
      <c r="B117" s="609" t="s">
        <v>331</v>
      </c>
      <c r="C117" s="510"/>
      <c r="D117" s="100">
        <f t="shared" si="29"/>
        <v>0</v>
      </c>
      <c r="E117" s="506"/>
      <c r="F117" s="100"/>
      <c r="G117" s="506"/>
      <c r="H117" s="506"/>
      <c r="I117" s="506"/>
      <c r="J117" s="515">
        <v>-2</v>
      </c>
      <c r="K117" s="100"/>
      <c r="L117" s="100"/>
      <c r="M117" s="100"/>
      <c r="N117" s="100"/>
      <c r="O117" s="100">
        <v>2</v>
      </c>
      <c r="P117" s="100">
        <f t="shared" si="30"/>
        <v>0</v>
      </c>
      <c r="Q117" s="100"/>
      <c r="R117" s="100">
        <f t="shared" si="21"/>
        <v>0</v>
      </c>
      <c r="S117" s="443">
        <f t="shared" si="20"/>
        <v>0</v>
      </c>
    </row>
    <row r="118" s="196" customFormat="1" ht="17.25" customHeight="1" spans="1:19">
      <c r="A118" s="183" t="s">
        <v>568</v>
      </c>
      <c r="B118" s="182" t="s">
        <v>332</v>
      </c>
      <c r="C118" s="510">
        <v>124</v>
      </c>
      <c r="D118" s="100">
        <f t="shared" si="29"/>
        <v>30</v>
      </c>
      <c r="E118" s="506"/>
      <c r="F118" s="507">
        <v>154</v>
      </c>
      <c r="G118" s="506"/>
      <c r="H118" s="506"/>
      <c r="I118" s="506"/>
      <c r="J118" s="100"/>
      <c r="K118" s="100"/>
      <c r="L118" s="100"/>
      <c r="M118" s="100"/>
      <c r="N118" s="100"/>
      <c r="O118" s="100">
        <v>-124</v>
      </c>
      <c r="P118" s="100">
        <f t="shared" si="30"/>
        <v>154</v>
      </c>
      <c r="Q118" s="100">
        <v>126</v>
      </c>
      <c r="R118" s="100">
        <f t="shared" si="21"/>
        <v>28</v>
      </c>
      <c r="S118" s="443">
        <f t="shared" si="20"/>
        <v>28</v>
      </c>
    </row>
    <row r="119" s="196" customFormat="1" ht="17.25" customHeight="1" spans="1:19">
      <c r="A119" s="183" t="s">
        <v>569</v>
      </c>
      <c r="B119" s="182" t="s">
        <v>333</v>
      </c>
      <c r="C119" s="510"/>
      <c r="D119" s="100">
        <f t="shared" si="29"/>
        <v>0</v>
      </c>
      <c r="E119" s="506"/>
      <c r="F119" s="507"/>
      <c r="G119" s="506"/>
      <c r="H119" s="506"/>
      <c r="I119" s="506"/>
      <c r="J119" s="100"/>
      <c r="K119" s="100"/>
      <c r="L119" s="100"/>
      <c r="M119" s="100"/>
      <c r="N119" s="100"/>
      <c r="O119" s="100"/>
      <c r="P119" s="100">
        <f t="shared" si="30"/>
        <v>0</v>
      </c>
      <c r="Q119" s="100"/>
      <c r="R119" s="100">
        <f t="shared" si="21"/>
        <v>0</v>
      </c>
      <c r="S119" s="443">
        <f t="shared" si="20"/>
        <v>0</v>
      </c>
    </row>
    <row r="120" s="196" customFormat="1" ht="16.9" customHeight="1" spans="1:19">
      <c r="A120" s="183" t="s">
        <v>570</v>
      </c>
      <c r="B120" s="182" t="s">
        <v>334</v>
      </c>
      <c r="C120" s="510">
        <v>1811</v>
      </c>
      <c r="D120" s="100">
        <f t="shared" si="29"/>
        <v>-417</v>
      </c>
      <c r="E120" s="506"/>
      <c r="F120" s="100">
        <v>-459</v>
      </c>
      <c r="G120" s="506"/>
      <c r="H120" s="506"/>
      <c r="I120" s="506"/>
      <c r="J120" s="515">
        <f>24+18</f>
        <v>42</v>
      </c>
      <c r="K120" s="100"/>
      <c r="L120" s="100"/>
      <c r="M120" s="100"/>
      <c r="N120" s="100"/>
      <c r="O120" s="100"/>
      <c r="P120" s="100">
        <f t="shared" si="30"/>
        <v>1394</v>
      </c>
      <c r="Q120" s="100">
        <v>348</v>
      </c>
      <c r="R120" s="100">
        <f t="shared" si="21"/>
        <v>1046</v>
      </c>
      <c r="S120" s="443">
        <f t="shared" si="20"/>
        <v>1046</v>
      </c>
    </row>
    <row r="121" s="403" customFormat="1" ht="16.9" customHeight="1" spans="1:19">
      <c r="A121" s="504" t="s">
        <v>571</v>
      </c>
      <c r="B121" s="505" t="s">
        <v>335</v>
      </c>
      <c r="C121" s="443">
        <f t="shared" ref="C121:Q121" si="31">SUM(C122:C136)</f>
        <v>3504</v>
      </c>
      <c r="D121" s="443">
        <f t="shared" si="31"/>
        <v>-127</v>
      </c>
      <c r="E121" s="443">
        <f t="shared" si="31"/>
        <v>371</v>
      </c>
      <c r="F121" s="443">
        <f t="shared" si="31"/>
        <v>-558</v>
      </c>
      <c r="G121" s="443">
        <f t="shared" si="31"/>
        <v>61</v>
      </c>
      <c r="H121" s="443">
        <f t="shared" si="31"/>
        <v>0</v>
      </c>
      <c r="I121" s="443">
        <f t="shared" si="31"/>
        <v>0</v>
      </c>
      <c r="J121" s="443">
        <f t="shared" si="31"/>
        <v>0</v>
      </c>
      <c r="K121" s="443">
        <f t="shared" si="31"/>
        <v>0</v>
      </c>
      <c r="L121" s="443">
        <f t="shared" si="31"/>
        <v>0</v>
      </c>
      <c r="M121" s="443">
        <f t="shared" si="31"/>
        <v>0</v>
      </c>
      <c r="N121" s="443">
        <f t="shared" si="31"/>
        <v>0</v>
      </c>
      <c r="O121" s="443">
        <f t="shared" si="31"/>
        <v>-1</v>
      </c>
      <c r="P121" s="443">
        <f t="shared" si="31"/>
        <v>3377</v>
      </c>
      <c r="Q121" s="443">
        <f t="shared" si="31"/>
        <v>1142</v>
      </c>
      <c r="R121" s="443">
        <f t="shared" si="21"/>
        <v>2235</v>
      </c>
      <c r="S121" s="443">
        <f t="shared" si="20"/>
        <v>2235</v>
      </c>
    </row>
    <row r="122" s="196" customFormat="1" ht="16.9" customHeight="1" spans="1:19">
      <c r="A122" s="183" t="s">
        <v>572</v>
      </c>
      <c r="B122" s="182" t="s">
        <v>336</v>
      </c>
      <c r="C122" s="510"/>
      <c r="D122" s="100">
        <f t="shared" ref="D122:D136" si="32">SUM(E122:O122)</f>
        <v>1</v>
      </c>
      <c r="E122" s="506"/>
      <c r="F122" s="507">
        <v>1</v>
      </c>
      <c r="G122" s="506"/>
      <c r="H122" s="506"/>
      <c r="I122" s="506"/>
      <c r="J122" s="100"/>
      <c r="K122" s="100"/>
      <c r="L122" s="100"/>
      <c r="M122" s="100"/>
      <c r="N122" s="100"/>
      <c r="O122" s="100"/>
      <c r="P122" s="100">
        <f t="shared" ref="P122:P136" si="33">C122+D122</f>
        <v>1</v>
      </c>
      <c r="Q122" s="100">
        <v>1</v>
      </c>
      <c r="R122" s="100">
        <f t="shared" si="21"/>
        <v>0</v>
      </c>
      <c r="S122" s="443">
        <f t="shared" si="20"/>
        <v>0</v>
      </c>
    </row>
    <row r="123" s="196" customFormat="1" ht="16.9" customHeight="1" spans="1:19">
      <c r="A123" s="183" t="s">
        <v>573</v>
      </c>
      <c r="B123" s="182" t="s">
        <v>337</v>
      </c>
      <c r="C123" s="510"/>
      <c r="D123" s="100">
        <f t="shared" si="32"/>
        <v>0</v>
      </c>
      <c r="E123" s="506"/>
      <c r="F123" s="507"/>
      <c r="G123" s="506"/>
      <c r="H123" s="506"/>
      <c r="I123" s="506"/>
      <c r="J123" s="100"/>
      <c r="K123" s="100"/>
      <c r="L123" s="100"/>
      <c r="M123" s="100"/>
      <c r="N123" s="100"/>
      <c r="O123" s="100"/>
      <c r="P123" s="100">
        <f t="shared" si="33"/>
        <v>0</v>
      </c>
      <c r="Q123" s="100"/>
      <c r="R123" s="100">
        <f t="shared" si="21"/>
        <v>0</v>
      </c>
      <c r="S123" s="443">
        <f t="shared" si="20"/>
        <v>0</v>
      </c>
    </row>
    <row r="124" s="196" customFormat="1" ht="16.9" customHeight="1" spans="1:19">
      <c r="A124" s="183" t="s">
        <v>574</v>
      </c>
      <c r="B124" s="182" t="s">
        <v>338</v>
      </c>
      <c r="C124" s="510">
        <v>1169</v>
      </c>
      <c r="D124" s="100">
        <f t="shared" si="32"/>
        <v>-1082</v>
      </c>
      <c r="E124" s="506">
        <v>305</v>
      </c>
      <c r="F124" s="100">
        <v>-1387</v>
      </c>
      <c r="G124" s="506"/>
      <c r="H124" s="506"/>
      <c r="I124" s="506"/>
      <c r="J124" s="515"/>
      <c r="K124" s="100"/>
      <c r="L124" s="100"/>
      <c r="M124" s="100"/>
      <c r="N124" s="100"/>
      <c r="O124" s="100"/>
      <c r="P124" s="100">
        <f t="shared" si="33"/>
        <v>87</v>
      </c>
      <c r="Q124" s="100">
        <v>8</v>
      </c>
      <c r="R124" s="100">
        <f t="shared" si="21"/>
        <v>79</v>
      </c>
      <c r="S124" s="443">
        <f t="shared" si="20"/>
        <v>79</v>
      </c>
    </row>
    <row r="125" s="196" customFormat="1" ht="16.9" customHeight="1" spans="1:19">
      <c r="A125" s="183" t="s">
        <v>575</v>
      </c>
      <c r="B125" s="182" t="s">
        <v>339</v>
      </c>
      <c r="C125" s="510">
        <v>1986</v>
      </c>
      <c r="D125" s="100">
        <f t="shared" si="32"/>
        <v>6</v>
      </c>
      <c r="E125" s="506">
        <v>6</v>
      </c>
      <c r="F125" s="100"/>
      <c r="G125" s="506"/>
      <c r="H125" s="506"/>
      <c r="I125" s="506"/>
      <c r="J125" s="515"/>
      <c r="K125" s="100"/>
      <c r="L125" s="100"/>
      <c r="M125" s="100"/>
      <c r="N125" s="100"/>
      <c r="O125" s="100"/>
      <c r="P125" s="100">
        <f t="shared" si="33"/>
        <v>1992</v>
      </c>
      <c r="Q125" s="100">
        <v>1093</v>
      </c>
      <c r="R125" s="100">
        <f t="shared" si="21"/>
        <v>899</v>
      </c>
      <c r="S125" s="443">
        <f t="shared" si="20"/>
        <v>899</v>
      </c>
    </row>
    <row r="126" s="196" customFormat="1" ht="16.9" customHeight="1" spans="1:19">
      <c r="A126" s="183" t="s">
        <v>576</v>
      </c>
      <c r="B126" s="182" t="s">
        <v>340</v>
      </c>
      <c r="C126" s="510">
        <v>15</v>
      </c>
      <c r="D126" s="100">
        <f t="shared" si="32"/>
        <v>1009</v>
      </c>
      <c r="E126" s="506"/>
      <c r="F126" s="507">
        <f>23+987</f>
        <v>1010</v>
      </c>
      <c r="G126" s="506"/>
      <c r="H126" s="506"/>
      <c r="I126" s="506"/>
      <c r="J126" s="100"/>
      <c r="K126" s="100"/>
      <c r="L126" s="100"/>
      <c r="M126" s="100"/>
      <c r="N126" s="100"/>
      <c r="O126" s="100">
        <v>-1</v>
      </c>
      <c r="P126" s="100">
        <f t="shared" si="33"/>
        <v>1024</v>
      </c>
      <c r="Q126" s="100">
        <v>7</v>
      </c>
      <c r="R126" s="100">
        <f t="shared" si="21"/>
        <v>1017</v>
      </c>
      <c r="S126" s="443">
        <f t="shared" si="20"/>
        <v>1017</v>
      </c>
    </row>
    <row r="127" s="196" customFormat="1" ht="16.9" customHeight="1" spans="1:19">
      <c r="A127" s="183" t="s">
        <v>577</v>
      </c>
      <c r="B127" s="182" t="s">
        <v>578</v>
      </c>
      <c r="C127" s="510"/>
      <c r="D127" s="100">
        <f t="shared" si="32"/>
        <v>0</v>
      </c>
      <c r="E127" s="506"/>
      <c r="F127" s="507"/>
      <c r="G127" s="506"/>
      <c r="H127" s="506"/>
      <c r="I127" s="506"/>
      <c r="J127" s="100"/>
      <c r="K127" s="100"/>
      <c r="L127" s="100"/>
      <c r="M127" s="100"/>
      <c r="N127" s="100"/>
      <c r="O127" s="100"/>
      <c r="P127" s="100">
        <f t="shared" si="33"/>
        <v>0</v>
      </c>
      <c r="Q127" s="100"/>
      <c r="R127" s="100">
        <f t="shared" si="21"/>
        <v>0</v>
      </c>
      <c r="S127" s="443">
        <f t="shared" si="20"/>
        <v>0</v>
      </c>
    </row>
    <row r="128" s="196" customFormat="1" ht="16.9" customHeight="1" spans="1:19">
      <c r="A128" s="183" t="s">
        <v>579</v>
      </c>
      <c r="B128" s="182" t="s">
        <v>342</v>
      </c>
      <c r="C128" s="510"/>
      <c r="D128" s="100">
        <f t="shared" si="32"/>
        <v>0</v>
      </c>
      <c r="E128" s="506"/>
      <c r="F128" s="507"/>
      <c r="G128" s="506"/>
      <c r="H128" s="506"/>
      <c r="I128" s="506"/>
      <c r="J128" s="100"/>
      <c r="K128" s="100"/>
      <c r="L128" s="100"/>
      <c r="M128" s="100"/>
      <c r="N128" s="100"/>
      <c r="O128" s="100"/>
      <c r="P128" s="100">
        <f t="shared" si="33"/>
        <v>0</v>
      </c>
      <c r="Q128" s="100"/>
      <c r="R128" s="100">
        <f t="shared" si="21"/>
        <v>0</v>
      </c>
      <c r="S128" s="443">
        <f t="shared" si="20"/>
        <v>0</v>
      </c>
    </row>
    <row r="129" s="196" customFormat="1" ht="16.9" customHeight="1" spans="1:19">
      <c r="A129" s="183" t="s">
        <v>580</v>
      </c>
      <c r="B129" s="182" t="s">
        <v>343</v>
      </c>
      <c r="C129" s="510"/>
      <c r="D129" s="100">
        <f t="shared" si="32"/>
        <v>0</v>
      </c>
      <c r="E129" s="506"/>
      <c r="F129" s="507"/>
      <c r="G129" s="506"/>
      <c r="H129" s="506"/>
      <c r="I129" s="506"/>
      <c r="J129" s="100"/>
      <c r="K129" s="100"/>
      <c r="L129" s="100"/>
      <c r="M129" s="100"/>
      <c r="N129" s="100"/>
      <c r="O129" s="100"/>
      <c r="P129" s="100">
        <f t="shared" si="33"/>
        <v>0</v>
      </c>
      <c r="Q129" s="100"/>
      <c r="R129" s="100">
        <f t="shared" si="21"/>
        <v>0</v>
      </c>
      <c r="S129" s="443">
        <f t="shared" si="20"/>
        <v>0</v>
      </c>
    </row>
    <row r="130" s="196" customFormat="1" ht="16.9" customHeight="1" spans="1:19">
      <c r="A130" s="183" t="s">
        <v>581</v>
      </c>
      <c r="B130" s="182" t="s">
        <v>344</v>
      </c>
      <c r="C130" s="510"/>
      <c r="D130" s="100">
        <f t="shared" si="32"/>
        <v>0</v>
      </c>
      <c r="E130" s="506"/>
      <c r="F130" s="507"/>
      <c r="G130" s="506"/>
      <c r="H130" s="506"/>
      <c r="I130" s="506"/>
      <c r="J130" s="100"/>
      <c r="K130" s="100"/>
      <c r="L130" s="100"/>
      <c r="M130" s="100"/>
      <c r="N130" s="100"/>
      <c r="O130" s="100"/>
      <c r="P130" s="100">
        <f t="shared" si="33"/>
        <v>0</v>
      </c>
      <c r="Q130" s="100"/>
      <c r="R130" s="100">
        <f t="shared" si="21"/>
        <v>0</v>
      </c>
      <c r="S130" s="443">
        <f t="shared" si="20"/>
        <v>0</v>
      </c>
    </row>
    <row r="131" s="196" customFormat="1" ht="16.9" customHeight="1" spans="1:19">
      <c r="A131" s="183" t="s">
        <v>582</v>
      </c>
      <c r="B131" s="182" t="s">
        <v>345</v>
      </c>
      <c r="C131" s="510">
        <v>34</v>
      </c>
      <c r="D131" s="100">
        <f t="shared" si="32"/>
        <v>-21</v>
      </c>
      <c r="E131" s="506"/>
      <c r="F131" s="100">
        <v>-82</v>
      </c>
      <c r="G131" s="506">
        <v>61</v>
      </c>
      <c r="H131" s="506"/>
      <c r="I131" s="506"/>
      <c r="J131" s="515"/>
      <c r="K131" s="100"/>
      <c r="L131" s="100"/>
      <c r="M131" s="100"/>
      <c r="N131" s="100"/>
      <c r="O131" s="100"/>
      <c r="P131" s="100">
        <f t="shared" si="33"/>
        <v>13</v>
      </c>
      <c r="Q131" s="100">
        <v>13</v>
      </c>
      <c r="R131" s="100">
        <f t="shared" si="21"/>
        <v>0</v>
      </c>
      <c r="S131" s="443">
        <f t="shared" si="20"/>
        <v>0</v>
      </c>
    </row>
    <row r="132" s="196" customFormat="1" ht="16.9" customHeight="1" spans="1:19">
      <c r="A132" s="183" t="s">
        <v>583</v>
      </c>
      <c r="B132" s="182" t="s">
        <v>346</v>
      </c>
      <c r="C132" s="510">
        <v>100</v>
      </c>
      <c r="D132" s="100">
        <f t="shared" si="32"/>
        <v>-100</v>
      </c>
      <c r="E132" s="506"/>
      <c r="F132" s="100">
        <v>-100</v>
      </c>
      <c r="G132" s="506"/>
      <c r="H132" s="506"/>
      <c r="I132" s="506"/>
      <c r="J132" s="515"/>
      <c r="K132" s="100"/>
      <c r="L132" s="100"/>
      <c r="M132" s="100"/>
      <c r="N132" s="100"/>
      <c r="O132" s="100"/>
      <c r="P132" s="100">
        <f t="shared" si="33"/>
        <v>0</v>
      </c>
      <c r="Q132" s="100"/>
      <c r="R132" s="100">
        <f t="shared" si="21"/>
        <v>0</v>
      </c>
      <c r="S132" s="443">
        <f t="shared" si="20"/>
        <v>0</v>
      </c>
    </row>
    <row r="133" s="196" customFormat="1" ht="16.9" customHeight="1" spans="1:19">
      <c r="A133" s="183" t="s">
        <v>584</v>
      </c>
      <c r="B133" s="182" t="s">
        <v>347</v>
      </c>
      <c r="C133" s="510">
        <v>200</v>
      </c>
      <c r="D133" s="100">
        <f t="shared" si="32"/>
        <v>60</v>
      </c>
      <c r="E133" s="506">
        <v>60</v>
      </c>
      <c r="F133" s="100"/>
      <c r="G133" s="506"/>
      <c r="H133" s="506"/>
      <c r="I133" s="506"/>
      <c r="J133" s="515"/>
      <c r="K133" s="100"/>
      <c r="L133" s="100"/>
      <c r="M133" s="100"/>
      <c r="N133" s="100"/>
      <c r="O133" s="100"/>
      <c r="P133" s="100">
        <f t="shared" si="33"/>
        <v>260</v>
      </c>
      <c r="Q133" s="100">
        <v>20</v>
      </c>
      <c r="R133" s="100">
        <f t="shared" si="21"/>
        <v>240</v>
      </c>
      <c r="S133" s="443">
        <f t="shared" si="20"/>
        <v>240</v>
      </c>
    </row>
    <row r="134" s="196" customFormat="1" ht="16.9" customHeight="1" spans="1:19">
      <c r="A134" s="183" t="s">
        <v>585</v>
      </c>
      <c r="B134" s="609" t="s">
        <v>348</v>
      </c>
      <c r="C134" s="510"/>
      <c r="D134" s="100">
        <f t="shared" si="32"/>
        <v>0</v>
      </c>
      <c r="E134" s="506"/>
      <c r="F134" s="507"/>
      <c r="G134" s="506"/>
      <c r="H134" s="506"/>
      <c r="I134" s="506"/>
      <c r="J134" s="100"/>
      <c r="K134" s="100"/>
      <c r="L134" s="100"/>
      <c r="M134" s="100"/>
      <c r="N134" s="100"/>
      <c r="O134" s="100"/>
      <c r="P134" s="100">
        <f t="shared" si="33"/>
        <v>0</v>
      </c>
      <c r="Q134" s="100"/>
      <c r="R134" s="100">
        <f t="shared" si="21"/>
        <v>0</v>
      </c>
      <c r="S134" s="443">
        <f t="shared" si="20"/>
        <v>0</v>
      </c>
    </row>
    <row r="135" s="196" customFormat="1" ht="16.9" customHeight="1" spans="1:19">
      <c r="A135" s="183" t="s">
        <v>586</v>
      </c>
      <c r="B135" s="182" t="s">
        <v>349</v>
      </c>
      <c r="C135" s="510"/>
      <c r="D135" s="100">
        <f t="shared" si="32"/>
        <v>0</v>
      </c>
      <c r="E135" s="506"/>
      <c r="F135" s="507"/>
      <c r="G135" s="506"/>
      <c r="H135" s="506"/>
      <c r="I135" s="506"/>
      <c r="J135" s="100"/>
      <c r="K135" s="100"/>
      <c r="L135" s="100"/>
      <c r="M135" s="100"/>
      <c r="N135" s="100"/>
      <c r="O135" s="100"/>
      <c r="P135" s="100">
        <f t="shared" si="33"/>
        <v>0</v>
      </c>
      <c r="Q135" s="100"/>
      <c r="R135" s="100">
        <f t="shared" si="21"/>
        <v>0</v>
      </c>
      <c r="S135" s="443">
        <f t="shared" ref="S135:S198" si="34">R135</f>
        <v>0</v>
      </c>
    </row>
    <row r="136" s="196" customFormat="1" ht="16.9" customHeight="1" spans="1:19">
      <c r="A136" s="183" t="s">
        <v>587</v>
      </c>
      <c r="B136" s="182" t="s">
        <v>350</v>
      </c>
      <c r="C136" s="510"/>
      <c r="D136" s="100">
        <f t="shared" si="32"/>
        <v>0</v>
      </c>
      <c r="E136" s="506"/>
      <c r="F136" s="507"/>
      <c r="G136" s="506"/>
      <c r="H136" s="506"/>
      <c r="I136" s="506"/>
      <c r="J136" s="100"/>
      <c r="K136" s="100"/>
      <c r="L136" s="100"/>
      <c r="M136" s="100"/>
      <c r="N136" s="100"/>
      <c r="O136" s="100"/>
      <c r="P136" s="100">
        <f t="shared" si="33"/>
        <v>0</v>
      </c>
      <c r="Q136" s="100"/>
      <c r="R136" s="100">
        <f t="shared" ref="R136:R199" si="35">P136-Q136</f>
        <v>0</v>
      </c>
      <c r="S136" s="443">
        <f t="shared" si="34"/>
        <v>0</v>
      </c>
    </row>
    <row r="137" s="403" customFormat="1" ht="16.9" customHeight="1" spans="1:19">
      <c r="A137" s="504" t="s">
        <v>588</v>
      </c>
      <c r="B137" s="505" t="s">
        <v>351</v>
      </c>
      <c r="C137" s="443">
        <f t="shared" ref="C137:Q137" si="36">SUM(C138:C143)</f>
        <v>6356</v>
      </c>
      <c r="D137" s="443">
        <f t="shared" si="36"/>
        <v>-676</v>
      </c>
      <c r="E137" s="443">
        <f t="shared" si="36"/>
        <v>-1477</v>
      </c>
      <c r="F137" s="443">
        <f t="shared" si="36"/>
        <v>1721</v>
      </c>
      <c r="G137" s="443">
        <f t="shared" si="36"/>
        <v>0</v>
      </c>
      <c r="H137" s="443">
        <f t="shared" si="36"/>
        <v>0</v>
      </c>
      <c r="I137" s="443">
        <f t="shared" si="36"/>
        <v>0</v>
      </c>
      <c r="J137" s="443">
        <f t="shared" si="36"/>
        <v>0</v>
      </c>
      <c r="K137" s="443">
        <f t="shared" si="36"/>
        <v>0</v>
      </c>
      <c r="L137" s="443">
        <f t="shared" si="36"/>
        <v>0</v>
      </c>
      <c r="M137" s="443">
        <f t="shared" si="36"/>
        <v>0</v>
      </c>
      <c r="N137" s="443">
        <f t="shared" si="36"/>
        <v>0</v>
      </c>
      <c r="O137" s="443">
        <f t="shared" si="36"/>
        <v>-920</v>
      </c>
      <c r="P137" s="443">
        <f t="shared" si="36"/>
        <v>5680</v>
      </c>
      <c r="Q137" s="443">
        <f t="shared" si="36"/>
        <v>3662</v>
      </c>
      <c r="R137" s="100">
        <f t="shared" si="35"/>
        <v>2018</v>
      </c>
      <c r="S137" s="443">
        <f t="shared" si="34"/>
        <v>2018</v>
      </c>
    </row>
    <row r="138" s="196" customFormat="1" ht="16.9" customHeight="1" spans="1:19">
      <c r="A138" s="183" t="s">
        <v>589</v>
      </c>
      <c r="B138" s="182" t="s">
        <v>352</v>
      </c>
      <c r="C138" s="510">
        <v>2425</v>
      </c>
      <c r="D138" s="100">
        <f t="shared" ref="D138:D143" si="37">SUM(E138:O138)</f>
        <v>-44</v>
      </c>
      <c r="E138" s="506">
        <f>-1800+36</f>
        <v>-1764</v>
      </c>
      <c r="F138" s="507">
        <v>1720</v>
      </c>
      <c r="G138" s="506"/>
      <c r="H138" s="506"/>
      <c r="I138" s="506"/>
      <c r="J138" s="100"/>
      <c r="K138" s="100"/>
      <c r="L138" s="100"/>
      <c r="M138" s="100"/>
      <c r="N138" s="100"/>
      <c r="O138" s="100"/>
      <c r="P138" s="100">
        <f t="shared" ref="P138:P143" si="38">C138+D138</f>
        <v>2381</v>
      </c>
      <c r="Q138" s="100">
        <v>2381</v>
      </c>
      <c r="R138" s="100">
        <f t="shared" si="35"/>
        <v>0</v>
      </c>
      <c r="S138" s="443">
        <f t="shared" si="34"/>
        <v>0</v>
      </c>
    </row>
    <row r="139" s="196" customFormat="1" ht="16.9" customHeight="1" spans="1:19">
      <c r="A139" s="183" t="s">
        <v>590</v>
      </c>
      <c r="B139" s="182" t="s">
        <v>353</v>
      </c>
      <c r="C139" s="510"/>
      <c r="D139" s="100">
        <f t="shared" si="37"/>
        <v>0</v>
      </c>
      <c r="E139" s="506"/>
      <c r="F139" s="507"/>
      <c r="G139" s="506"/>
      <c r="H139" s="506"/>
      <c r="I139" s="506"/>
      <c r="J139" s="100"/>
      <c r="K139" s="100"/>
      <c r="L139" s="100"/>
      <c r="M139" s="100"/>
      <c r="N139" s="100"/>
      <c r="O139" s="100"/>
      <c r="P139" s="100">
        <f t="shared" si="38"/>
        <v>0</v>
      </c>
      <c r="Q139" s="100"/>
      <c r="R139" s="100">
        <f t="shared" si="35"/>
        <v>0</v>
      </c>
      <c r="S139" s="443">
        <f t="shared" si="34"/>
        <v>0</v>
      </c>
    </row>
    <row r="140" s="196" customFormat="1" ht="16.9" customHeight="1" spans="1:19">
      <c r="A140" s="183" t="s">
        <v>591</v>
      </c>
      <c r="B140" s="182" t="s">
        <v>354</v>
      </c>
      <c r="C140" s="510">
        <v>3716</v>
      </c>
      <c r="D140" s="100">
        <f t="shared" si="37"/>
        <v>-772</v>
      </c>
      <c r="E140" s="506">
        <f>50+98</f>
        <v>148</v>
      </c>
      <c r="F140" s="100"/>
      <c r="G140" s="506"/>
      <c r="H140" s="506"/>
      <c r="I140" s="506"/>
      <c r="J140" s="515"/>
      <c r="K140" s="100"/>
      <c r="L140" s="100"/>
      <c r="M140" s="100"/>
      <c r="N140" s="100"/>
      <c r="O140" s="100">
        <v>-920</v>
      </c>
      <c r="P140" s="100">
        <f t="shared" si="38"/>
        <v>2944</v>
      </c>
      <c r="Q140" s="100">
        <v>926</v>
      </c>
      <c r="R140" s="100">
        <f t="shared" si="35"/>
        <v>2018</v>
      </c>
      <c r="S140" s="443">
        <f t="shared" si="34"/>
        <v>2018</v>
      </c>
    </row>
    <row r="141" s="196" customFormat="1" ht="16.9" customHeight="1" spans="1:19">
      <c r="A141" s="183" t="s">
        <v>592</v>
      </c>
      <c r="B141" s="182" t="s">
        <v>355</v>
      </c>
      <c r="C141" s="510">
        <v>4</v>
      </c>
      <c r="D141" s="100">
        <f t="shared" si="37"/>
        <v>96</v>
      </c>
      <c r="E141" s="506"/>
      <c r="F141" s="507">
        <v>96</v>
      </c>
      <c r="G141" s="506"/>
      <c r="H141" s="506"/>
      <c r="I141" s="506"/>
      <c r="J141" s="100"/>
      <c r="K141" s="100"/>
      <c r="L141" s="100"/>
      <c r="M141" s="100"/>
      <c r="N141" s="100"/>
      <c r="O141" s="100"/>
      <c r="P141" s="100">
        <f t="shared" si="38"/>
        <v>100</v>
      </c>
      <c r="Q141" s="100">
        <v>100</v>
      </c>
      <c r="R141" s="100">
        <f t="shared" si="35"/>
        <v>0</v>
      </c>
      <c r="S141" s="443">
        <f t="shared" si="34"/>
        <v>0</v>
      </c>
    </row>
    <row r="142" s="196" customFormat="1" ht="16.9" customHeight="1" spans="1:19">
      <c r="A142" s="183" t="s">
        <v>593</v>
      </c>
      <c r="B142" s="182" t="s">
        <v>356</v>
      </c>
      <c r="C142" s="510"/>
      <c r="D142" s="100">
        <f t="shared" si="37"/>
        <v>0</v>
      </c>
      <c r="E142" s="506"/>
      <c r="F142" s="507"/>
      <c r="G142" s="506"/>
      <c r="H142" s="506"/>
      <c r="I142" s="506"/>
      <c r="J142" s="100"/>
      <c r="K142" s="100"/>
      <c r="L142" s="100"/>
      <c r="M142" s="100"/>
      <c r="N142" s="100"/>
      <c r="O142" s="100"/>
      <c r="P142" s="100">
        <f t="shared" si="38"/>
        <v>0</v>
      </c>
      <c r="Q142" s="100"/>
      <c r="R142" s="100">
        <f t="shared" si="35"/>
        <v>0</v>
      </c>
      <c r="S142" s="443">
        <f t="shared" si="34"/>
        <v>0</v>
      </c>
    </row>
    <row r="143" s="196" customFormat="1" ht="16.9" customHeight="1" spans="1:19">
      <c r="A143" s="183" t="s">
        <v>594</v>
      </c>
      <c r="B143" s="182" t="s">
        <v>357</v>
      </c>
      <c r="C143" s="510">
        <v>211</v>
      </c>
      <c r="D143" s="100">
        <f t="shared" si="37"/>
        <v>44</v>
      </c>
      <c r="E143" s="506">
        <f>157-18</f>
        <v>139</v>
      </c>
      <c r="F143" s="100">
        <v>-95</v>
      </c>
      <c r="G143" s="506"/>
      <c r="H143" s="506"/>
      <c r="I143" s="506"/>
      <c r="J143" s="515"/>
      <c r="K143" s="100"/>
      <c r="L143" s="100"/>
      <c r="M143" s="100"/>
      <c r="N143" s="100"/>
      <c r="O143" s="100"/>
      <c r="P143" s="100">
        <f t="shared" si="38"/>
        <v>255</v>
      </c>
      <c r="Q143" s="100">
        <v>255</v>
      </c>
      <c r="R143" s="100">
        <f t="shared" si="35"/>
        <v>0</v>
      </c>
      <c r="S143" s="443">
        <f t="shared" si="34"/>
        <v>0</v>
      </c>
    </row>
    <row r="144" s="403" customFormat="1" ht="16.9" customHeight="1" spans="1:19">
      <c r="A144" s="504" t="s">
        <v>595</v>
      </c>
      <c r="B144" s="519" t="s">
        <v>358</v>
      </c>
      <c r="C144" s="443">
        <f t="shared" ref="C144:Q144" si="39">SUM(C145:C152)</f>
        <v>95962</v>
      </c>
      <c r="D144" s="443">
        <f t="shared" si="39"/>
        <v>66118</v>
      </c>
      <c r="E144" s="443">
        <f t="shared" si="39"/>
        <v>15974</v>
      </c>
      <c r="F144" s="443">
        <f t="shared" si="39"/>
        <v>33724</v>
      </c>
      <c r="G144" s="443">
        <f t="shared" si="39"/>
        <v>225</v>
      </c>
      <c r="H144" s="443">
        <f t="shared" si="39"/>
        <v>0</v>
      </c>
      <c r="I144" s="443">
        <f t="shared" si="39"/>
        <v>3462</v>
      </c>
      <c r="J144" s="443">
        <f t="shared" si="39"/>
        <v>0</v>
      </c>
      <c r="K144" s="443">
        <f t="shared" si="39"/>
        <v>-374</v>
      </c>
      <c r="L144" s="443">
        <f t="shared" si="39"/>
        <v>358</v>
      </c>
      <c r="M144" s="443">
        <f t="shared" si="39"/>
        <v>0</v>
      </c>
      <c r="N144" s="443">
        <f t="shared" si="39"/>
        <v>200</v>
      </c>
      <c r="O144" s="443">
        <f t="shared" si="39"/>
        <v>12549</v>
      </c>
      <c r="P144" s="443">
        <f t="shared" si="39"/>
        <v>162080</v>
      </c>
      <c r="Q144" s="443">
        <f t="shared" si="39"/>
        <v>110919</v>
      </c>
      <c r="R144" s="100">
        <f t="shared" si="35"/>
        <v>51161</v>
      </c>
      <c r="S144" s="443">
        <f t="shared" si="34"/>
        <v>51161</v>
      </c>
    </row>
    <row r="145" s="196" customFormat="1" ht="16.9" customHeight="1" spans="1:19">
      <c r="A145" s="520" t="s">
        <v>596</v>
      </c>
      <c r="B145" s="182" t="s">
        <v>359</v>
      </c>
      <c r="C145" s="510">
        <v>16372</v>
      </c>
      <c r="D145" s="100">
        <f t="shared" ref="D145:D152" si="40">SUM(E145:O145)</f>
        <v>3315</v>
      </c>
      <c r="E145" s="506"/>
      <c r="F145" s="100"/>
      <c r="G145" s="506">
        <v>200</v>
      </c>
      <c r="H145" s="506"/>
      <c r="I145" s="506">
        <v>1880</v>
      </c>
      <c r="J145" s="515"/>
      <c r="K145" s="100"/>
      <c r="L145" s="517">
        <v>236</v>
      </c>
      <c r="M145" s="100"/>
      <c r="N145" s="100"/>
      <c r="O145" s="100">
        <v>999</v>
      </c>
      <c r="P145" s="100">
        <f t="shared" ref="P145:P152" si="41">C145+D145</f>
        <v>19687</v>
      </c>
      <c r="Q145" s="100">
        <v>9919</v>
      </c>
      <c r="R145" s="100">
        <f t="shared" si="35"/>
        <v>9768</v>
      </c>
      <c r="S145" s="443">
        <f t="shared" si="34"/>
        <v>9768</v>
      </c>
    </row>
    <row r="146" s="196" customFormat="1" ht="16.9" customHeight="1" spans="1:19">
      <c r="A146" s="183" t="s">
        <v>597</v>
      </c>
      <c r="B146" s="521" t="s">
        <v>360</v>
      </c>
      <c r="C146" s="510">
        <v>13976</v>
      </c>
      <c r="D146" s="100">
        <f t="shared" si="40"/>
        <v>9757</v>
      </c>
      <c r="E146" s="506">
        <v>112</v>
      </c>
      <c r="F146" s="100"/>
      <c r="G146" s="506"/>
      <c r="H146" s="506"/>
      <c r="I146" s="506"/>
      <c r="J146" s="515"/>
      <c r="K146" s="100">
        <f>-875+501</f>
        <v>-374</v>
      </c>
      <c r="L146" s="100"/>
      <c r="M146" s="100"/>
      <c r="N146" s="100"/>
      <c r="O146" s="100">
        <v>10019</v>
      </c>
      <c r="P146" s="100">
        <f t="shared" si="41"/>
        <v>23733</v>
      </c>
      <c r="Q146" s="100">
        <v>13613</v>
      </c>
      <c r="R146" s="100">
        <f t="shared" si="35"/>
        <v>10120</v>
      </c>
      <c r="S146" s="443">
        <f t="shared" si="34"/>
        <v>10120</v>
      </c>
    </row>
    <row r="147" s="196" customFormat="1" ht="16.9" customHeight="1" spans="1:19">
      <c r="A147" s="183" t="s">
        <v>598</v>
      </c>
      <c r="B147" s="182" t="s">
        <v>361</v>
      </c>
      <c r="C147" s="510">
        <v>4482</v>
      </c>
      <c r="D147" s="100">
        <f t="shared" si="40"/>
        <v>982</v>
      </c>
      <c r="E147" s="506"/>
      <c r="F147" s="100"/>
      <c r="G147" s="506"/>
      <c r="H147" s="506"/>
      <c r="I147" s="506"/>
      <c r="J147" s="515"/>
      <c r="K147" s="100"/>
      <c r="L147" s="517">
        <v>122</v>
      </c>
      <c r="M147" s="100"/>
      <c r="N147" s="100"/>
      <c r="O147" s="100">
        <v>860</v>
      </c>
      <c r="P147" s="100">
        <f t="shared" si="41"/>
        <v>5464</v>
      </c>
      <c r="Q147" s="100">
        <v>2975</v>
      </c>
      <c r="R147" s="100">
        <f t="shared" si="35"/>
        <v>2489</v>
      </c>
      <c r="S147" s="443">
        <f t="shared" si="34"/>
        <v>2489</v>
      </c>
    </row>
    <row r="148" s="196" customFormat="1" ht="16.9" customHeight="1" spans="1:19">
      <c r="A148" s="183" t="s">
        <v>599</v>
      </c>
      <c r="B148" s="510" t="s">
        <v>600</v>
      </c>
      <c r="C148" s="510">
        <v>46145</v>
      </c>
      <c r="D148" s="100">
        <f t="shared" si="40"/>
        <v>38088</v>
      </c>
      <c r="E148" s="506">
        <v>6022</v>
      </c>
      <c r="F148" s="507">
        <f>28075+1538</f>
        <v>29613</v>
      </c>
      <c r="G148" s="506"/>
      <c r="H148" s="506"/>
      <c r="I148" s="506">
        <v>1582</v>
      </c>
      <c r="J148" s="100"/>
      <c r="K148" s="100"/>
      <c r="L148" s="100"/>
      <c r="M148" s="100"/>
      <c r="N148" s="100">
        <v>200</v>
      </c>
      <c r="O148" s="100">
        <v>671</v>
      </c>
      <c r="P148" s="100">
        <f t="shared" si="41"/>
        <v>84233</v>
      </c>
      <c r="Q148" s="100">
        <v>77182</v>
      </c>
      <c r="R148" s="100">
        <f t="shared" si="35"/>
        <v>7051</v>
      </c>
      <c r="S148" s="443">
        <f t="shared" si="34"/>
        <v>7051</v>
      </c>
    </row>
    <row r="149" s="196" customFormat="1" ht="16.9" customHeight="1" spans="1:19">
      <c r="A149" s="183" t="s">
        <v>601</v>
      </c>
      <c r="B149" s="182" t="s">
        <v>363</v>
      </c>
      <c r="C149" s="510">
        <v>8538</v>
      </c>
      <c r="D149" s="100">
        <f t="shared" si="40"/>
        <v>25</v>
      </c>
      <c r="E149" s="506"/>
      <c r="F149" s="100"/>
      <c r="G149" s="506">
        <v>25</v>
      </c>
      <c r="H149" s="506"/>
      <c r="I149" s="506"/>
      <c r="J149" s="515"/>
      <c r="K149" s="100"/>
      <c r="L149" s="100"/>
      <c r="M149" s="100"/>
      <c r="N149" s="100"/>
      <c r="O149" s="100"/>
      <c r="P149" s="100">
        <f t="shared" si="41"/>
        <v>8563</v>
      </c>
      <c r="Q149" s="100">
        <v>5045</v>
      </c>
      <c r="R149" s="100">
        <f t="shared" si="35"/>
        <v>3518</v>
      </c>
      <c r="S149" s="443">
        <f t="shared" si="34"/>
        <v>3518</v>
      </c>
    </row>
    <row r="150" s="196" customFormat="1" ht="16.9" customHeight="1" spans="1:19">
      <c r="A150" s="183" t="s">
        <v>602</v>
      </c>
      <c r="B150" s="609" t="s">
        <v>364</v>
      </c>
      <c r="C150" s="510">
        <v>836</v>
      </c>
      <c r="D150" s="100">
        <f t="shared" si="40"/>
        <v>-265</v>
      </c>
      <c r="E150" s="506"/>
      <c r="F150" s="100">
        <v>-265</v>
      </c>
      <c r="G150" s="506"/>
      <c r="H150" s="506"/>
      <c r="I150" s="506"/>
      <c r="J150" s="515"/>
      <c r="K150" s="100"/>
      <c r="L150" s="100"/>
      <c r="M150" s="100"/>
      <c r="N150" s="100"/>
      <c r="O150" s="100"/>
      <c r="P150" s="100">
        <f t="shared" si="41"/>
        <v>571</v>
      </c>
      <c r="Q150" s="100">
        <v>478</v>
      </c>
      <c r="R150" s="100">
        <f t="shared" si="35"/>
        <v>93</v>
      </c>
      <c r="S150" s="443">
        <f t="shared" si="34"/>
        <v>93</v>
      </c>
    </row>
    <row r="151" s="196" customFormat="1" ht="16.9" customHeight="1" spans="1:19">
      <c r="A151" s="183" t="s">
        <v>603</v>
      </c>
      <c r="B151" s="609" t="s">
        <v>365</v>
      </c>
      <c r="C151" s="510">
        <v>5</v>
      </c>
      <c r="D151" s="100">
        <f t="shared" si="40"/>
        <v>-4</v>
      </c>
      <c r="E151" s="506"/>
      <c r="F151" s="100">
        <v>-4</v>
      </c>
      <c r="G151" s="506"/>
      <c r="H151" s="506"/>
      <c r="I151" s="506"/>
      <c r="J151" s="515"/>
      <c r="K151" s="100"/>
      <c r="L151" s="100"/>
      <c r="M151" s="100"/>
      <c r="N151" s="100"/>
      <c r="O151" s="100"/>
      <c r="P151" s="100">
        <f t="shared" si="41"/>
        <v>1</v>
      </c>
      <c r="Q151" s="100">
        <v>1</v>
      </c>
      <c r="R151" s="100">
        <f t="shared" si="35"/>
        <v>0</v>
      </c>
      <c r="S151" s="443">
        <f t="shared" si="34"/>
        <v>0</v>
      </c>
    </row>
    <row r="152" s="196" customFormat="1" ht="16.9" customHeight="1" spans="1:19">
      <c r="A152" s="183" t="s">
        <v>604</v>
      </c>
      <c r="B152" s="182" t="s">
        <v>366</v>
      </c>
      <c r="C152" s="510">
        <v>5608</v>
      </c>
      <c r="D152" s="100">
        <f t="shared" si="40"/>
        <v>14220</v>
      </c>
      <c r="E152" s="506">
        <v>9840</v>
      </c>
      <c r="F152" s="100">
        <v>4380</v>
      </c>
      <c r="G152" s="506"/>
      <c r="H152" s="506"/>
      <c r="I152" s="506"/>
      <c r="J152" s="515"/>
      <c r="K152" s="100"/>
      <c r="L152" s="100"/>
      <c r="M152" s="100"/>
      <c r="N152" s="100"/>
      <c r="O152" s="100"/>
      <c r="P152" s="100">
        <f t="shared" si="41"/>
        <v>19828</v>
      </c>
      <c r="Q152" s="100">
        <v>1706</v>
      </c>
      <c r="R152" s="100">
        <f t="shared" si="35"/>
        <v>18122</v>
      </c>
      <c r="S152" s="443">
        <f t="shared" si="34"/>
        <v>18122</v>
      </c>
    </row>
    <row r="153" s="403" customFormat="1" ht="16.9" customHeight="1" spans="1:19">
      <c r="A153" s="504" t="s">
        <v>605</v>
      </c>
      <c r="B153" s="505" t="s">
        <v>367</v>
      </c>
      <c r="C153" s="443">
        <f t="shared" ref="C153:Q153" si="42">SUM(C154:C160)</f>
        <v>9259</v>
      </c>
      <c r="D153" s="443">
        <f t="shared" si="42"/>
        <v>7304</v>
      </c>
      <c r="E153" s="443">
        <f t="shared" si="42"/>
        <v>0</v>
      </c>
      <c r="F153" s="443">
        <f t="shared" si="42"/>
        <v>8583</v>
      </c>
      <c r="G153" s="443">
        <f t="shared" si="42"/>
        <v>240</v>
      </c>
      <c r="H153" s="443">
        <f t="shared" si="42"/>
        <v>0</v>
      </c>
      <c r="I153" s="443">
        <f t="shared" si="42"/>
        <v>0</v>
      </c>
      <c r="J153" s="443">
        <f t="shared" si="42"/>
        <v>0</v>
      </c>
      <c r="K153" s="443">
        <f t="shared" si="42"/>
        <v>-2000</v>
      </c>
      <c r="L153" s="443">
        <f t="shared" si="42"/>
        <v>0</v>
      </c>
      <c r="M153" s="443">
        <f t="shared" si="42"/>
        <v>0</v>
      </c>
      <c r="N153" s="443">
        <f t="shared" si="42"/>
        <v>0</v>
      </c>
      <c r="O153" s="443">
        <f t="shared" si="42"/>
        <v>481</v>
      </c>
      <c r="P153" s="443">
        <f t="shared" si="42"/>
        <v>16563</v>
      </c>
      <c r="Q153" s="443">
        <f t="shared" si="42"/>
        <v>2003</v>
      </c>
      <c r="R153" s="100">
        <f t="shared" si="35"/>
        <v>14560</v>
      </c>
      <c r="S153" s="443">
        <f t="shared" si="34"/>
        <v>14560</v>
      </c>
    </row>
    <row r="154" s="196" customFormat="1" ht="16.9" customHeight="1" spans="1:19">
      <c r="A154" s="183" t="s">
        <v>606</v>
      </c>
      <c r="B154" s="182" t="s">
        <v>368</v>
      </c>
      <c r="C154" s="510">
        <v>8796</v>
      </c>
      <c r="D154" s="100">
        <f t="shared" ref="D154:D160" si="43">SUM(E154:O154)</f>
        <v>7283</v>
      </c>
      <c r="E154" s="506"/>
      <c r="F154" s="507">
        <f>7132+1958-231</f>
        <v>8859</v>
      </c>
      <c r="G154" s="506">
        <v>112</v>
      </c>
      <c r="H154" s="506"/>
      <c r="I154" s="506"/>
      <c r="J154" s="506">
        <v>312</v>
      </c>
      <c r="K154" s="100">
        <v>-2000</v>
      </c>
      <c r="L154" s="100"/>
      <c r="M154" s="100"/>
      <c r="N154" s="100"/>
      <c r="O154" s="100"/>
      <c r="P154" s="100">
        <f t="shared" ref="P154:P160" si="44">C154+D154</f>
        <v>16079</v>
      </c>
      <c r="Q154" s="100">
        <v>1651</v>
      </c>
      <c r="R154" s="100">
        <f t="shared" si="35"/>
        <v>14428</v>
      </c>
      <c r="S154" s="443">
        <f t="shared" si="34"/>
        <v>14428</v>
      </c>
    </row>
    <row r="155" s="196" customFormat="1" ht="16.9" customHeight="1" spans="1:19">
      <c r="A155" s="183" t="s">
        <v>607</v>
      </c>
      <c r="B155" s="182" t="s">
        <v>369</v>
      </c>
      <c r="C155" s="510">
        <v>7</v>
      </c>
      <c r="D155" s="100">
        <f t="shared" si="43"/>
        <v>-7</v>
      </c>
      <c r="E155" s="506"/>
      <c r="F155" s="506">
        <v>-7</v>
      </c>
      <c r="G155" s="506"/>
      <c r="H155" s="506"/>
      <c r="I155" s="506"/>
      <c r="J155" s="515"/>
      <c r="K155" s="100"/>
      <c r="L155" s="100"/>
      <c r="M155" s="100"/>
      <c r="N155" s="100"/>
      <c r="O155" s="100"/>
      <c r="P155" s="100">
        <f t="shared" si="44"/>
        <v>0</v>
      </c>
      <c r="Q155" s="100"/>
      <c r="R155" s="100">
        <f t="shared" si="35"/>
        <v>0</v>
      </c>
      <c r="S155" s="443">
        <f t="shared" si="34"/>
        <v>0</v>
      </c>
    </row>
    <row r="156" s="196" customFormat="1" ht="16.9" customHeight="1" spans="1:19">
      <c r="A156" s="183" t="s">
        <v>608</v>
      </c>
      <c r="B156" s="182" t="s">
        <v>370</v>
      </c>
      <c r="C156" s="510"/>
      <c r="D156" s="100">
        <f t="shared" si="43"/>
        <v>0</v>
      </c>
      <c r="E156" s="506"/>
      <c r="F156" s="100"/>
      <c r="G156" s="506"/>
      <c r="H156" s="506"/>
      <c r="I156" s="506"/>
      <c r="J156" s="515"/>
      <c r="K156" s="100"/>
      <c r="L156" s="100"/>
      <c r="M156" s="100"/>
      <c r="N156" s="100"/>
      <c r="O156" s="100"/>
      <c r="P156" s="100">
        <f t="shared" si="44"/>
        <v>0</v>
      </c>
      <c r="Q156" s="100"/>
      <c r="R156" s="100">
        <f t="shared" si="35"/>
        <v>0</v>
      </c>
      <c r="S156" s="443">
        <f t="shared" si="34"/>
        <v>0</v>
      </c>
    </row>
    <row r="157" s="196" customFormat="1" ht="17.25" customHeight="1" spans="1:19">
      <c r="A157" s="183" t="s">
        <v>609</v>
      </c>
      <c r="B157" s="182" t="s">
        <v>371</v>
      </c>
      <c r="C157" s="510"/>
      <c r="D157" s="100">
        <f t="shared" si="43"/>
        <v>0</v>
      </c>
      <c r="E157" s="506"/>
      <c r="F157" s="100"/>
      <c r="G157" s="506"/>
      <c r="H157" s="506"/>
      <c r="I157" s="506"/>
      <c r="J157" s="515"/>
      <c r="K157" s="100"/>
      <c r="L157" s="100"/>
      <c r="M157" s="100"/>
      <c r="N157" s="100"/>
      <c r="O157" s="100"/>
      <c r="P157" s="100">
        <f t="shared" si="44"/>
        <v>0</v>
      </c>
      <c r="Q157" s="100"/>
      <c r="R157" s="100">
        <f t="shared" si="35"/>
        <v>0</v>
      </c>
      <c r="S157" s="443">
        <f t="shared" si="34"/>
        <v>0</v>
      </c>
    </row>
    <row r="158" s="196" customFormat="1" ht="17.25" customHeight="1" spans="1:19">
      <c r="A158" s="183" t="s">
        <v>610</v>
      </c>
      <c r="B158" s="182" t="s">
        <v>372</v>
      </c>
      <c r="C158" s="510"/>
      <c r="D158" s="100">
        <f t="shared" si="43"/>
        <v>0</v>
      </c>
      <c r="E158" s="506"/>
      <c r="F158" s="100"/>
      <c r="G158" s="506"/>
      <c r="H158" s="506"/>
      <c r="I158" s="506"/>
      <c r="J158" s="515"/>
      <c r="K158" s="100"/>
      <c r="L158" s="100"/>
      <c r="M158" s="100"/>
      <c r="N158" s="100"/>
      <c r="O158" s="100"/>
      <c r="P158" s="100">
        <f t="shared" si="44"/>
        <v>0</v>
      </c>
      <c r="Q158" s="100"/>
      <c r="R158" s="100">
        <f t="shared" si="35"/>
        <v>0</v>
      </c>
      <c r="S158" s="443">
        <f t="shared" si="34"/>
        <v>0</v>
      </c>
    </row>
    <row r="159" s="196" customFormat="1" ht="17.1" customHeight="1" spans="1:19">
      <c r="A159" s="183" t="s">
        <v>611</v>
      </c>
      <c r="B159" s="182" t="s">
        <v>373</v>
      </c>
      <c r="C159" s="510"/>
      <c r="D159" s="100">
        <f t="shared" si="43"/>
        <v>0</v>
      </c>
      <c r="E159" s="506"/>
      <c r="F159" s="100"/>
      <c r="G159" s="506"/>
      <c r="H159" s="506"/>
      <c r="I159" s="506"/>
      <c r="J159" s="515">
        <v>-312</v>
      </c>
      <c r="K159" s="100"/>
      <c r="L159" s="100"/>
      <c r="M159" s="100"/>
      <c r="N159" s="100"/>
      <c r="O159" s="100">
        <v>312</v>
      </c>
      <c r="P159" s="100">
        <f t="shared" si="44"/>
        <v>0</v>
      </c>
      <c r="Q159" s="100"/>
      <c r="R159" s="100">
        <f t="shared" si="35"/>
        <v>0</v>
      </c>
      <c r="S159" s="443">
        <f t="shared" si="34"/>
        <v>0</v>
      </c>
    </row>
    <row r="160" s="196" customFormat="1" ht="17.25" customHeight="1" spans="1:19">
      <c r="A160" s="183" t="s">
        <v>612</v>
      </c>
      <c r="B160" s="182" t="s">
        <v>374</v>
      </c>
      <c r="C160" s="510">
        <v>456</v>
      </c>
      <c r="D160" s="100">
        <f t="shared" si="43"/>
        <v>28</v>
      </c>
      <c r="E160" s="506"/>
      <c r="F160" s="100">
        <v>-269</v>
      </c>
      <c r="G160" s="506">
        <v>128</v>
      </c>
      <c r="H160" s="506"/>
      <c r="I160" s="506"/>
      <c r="J160" s="515"/>
      <c r="K160" s="100"/>
      <c r="L160" s="100"/>
      <c r="M160" s="100"/>
      <c r="N160" s="100"/>
      <c r="O160" s="100">
        <v>169</v>
      </c>
      <c r="P160" s="100">
        <f t="shared" si="44"/>
        <v>484</v>
      </c>
      <c r="Q160" s="100">
        <v>352</v>
      </c>
      <c r="R160" s="100">
        <f t="shared" si="35"/>
        <v>132</v>
      </c>
      <c r="S160" s="443">
        <f t="shared" si="34"/>
        <v>132</v>
      </c>
    </row>
    <row r="161" s="196" customFormat="1" ht="16.9" customHeight="1" spans="1:19">
      <c r="A161" s="504" t="s">
        <v>613</v>
      </c>
      <c r="B161" s="505" t="s">
        <v>375</v>
      </c>
      <c r="C161" s="443">
        <f t="shared" ref="C161:Q161" si="45">SUM(C162:C168)</f>
        <v>1260</v>
      </c>
      <c r="D161" s="443">
        <f t="shared" si="45"/>
        <v>603</v>
      </c>
      <c r="E161" s="443">
        <f t="shared" si="45"/>
        <v>221</v>
      </c>
      <c r="F161" s="443">
        <f t="shared" si="45"/>
        <v>232</v>
      </c>
      <c r="G161" s="443">
        <f t="shared" si="45"/>
        <v>0</v>
      </c>
      <c r="H161" s="443">
        <f t="shared" si="45"/>
        <v>0</v>
      </c>
      <c r="I161" s="443">
        <f t="shared" si="45"/>
        <v>0</v>
      </c>
      <c r="J161" s="443">
        <f t="shared" si="45"/>
        <v>0</v>
      </c>
      <c r="K161" s="443">
        <f t="shared" si="45"/>
        <v>0</v>
      </c>
      <c r="L161" s="443">
        <f t="shared" si="45"/>
        <v>0</v>
      </c>
      <c r="M161" s="443">
        <f t="shared" si="45"/>
        <v>0</v>
      </c>
      <c r="N161" s="443">
        <f t="shared" si="45"/>
        <v>0</v>
      </c>
      <c r="O161" s="443">
        <f t="shared" si="45"/>
        <v>150</v>
      </c>
      <c r="P161" s="443">
        <f t="shared" si="45"/>
        <v>1863</v>
      </c>
      <c r="Q161" s="443">
        <f t="shared" si="45"/>
        <v>1110</v>
      </c>
      <c r="R161" s="100">
        <f t="shared" si="35"/>
        <v>753</v>
      </c>
      <c r="S161" s="443">
        <f t="shared" si="34"/>
        <v>753</v>
      </c>
    </row>
    <row r="162" s="196" customFormat="1" ht="16.9" customHeight="1" spans="1:19">
      <c r="A162" s="183" t="s">
        <v>614</v>
      </c>
      <c r="B162" s="182" t="s">
        <v>376</v>
      </c>
      <c r="C162" s="100"/>
      <c r="D162" s="100">
        <f t="shared" ref="D162:D168" si="46">SUM(E162:O162)</f>
        <v>37</v>
      </c>
      <c r="E162" s="506"/>
      <c r="F162" s="507">
        <v>37</v>
      </c>
      <c r="G162" s="506"/>
      <c r="H162" s="506"/>
      <c r="I162" s="506"/>
      <c r="J162" s="100"/>
      <c r="K162" s="100"/>
      <c r="L162" s="100"/>
      <c r="M162" s="100"/>
      <c r="N162" s="100"/>
      <c r="O162" s="100"/>
      <c r="P162" s="100">
        <f t="shared" ref="P162:P168" si="47">C162+D162</f>
        <v>37</v>
      </c>
      <c r="Q162" s="100">
        <v>37</v>
      </c>
      <c r="R162" s="100">
        <f t="shared" si="35"/>
        <v>0</v>
      </c>
      <c r="S162" s="443">
        <f t="shared" si="34"/>
        <v>0</v>
      </c>
    </row>
    <row r="163" s="196" customFormat="1" ht="16.9" customHeight="1" spans="1:19">
      <c r="A163" s="183" t="s">
        <v>615</v>
      </c>
      <c r="B163" s="182" t="s">
        <v>377</v>
      </c>
      <c r="C163" s="100"/>
      <c r="D163" s="100">
        <f t="shared" si="46"/>
        <v>477</v>
      </c>
      <c r="E163" s="506">
        <v>221</v>
      </c>
      <c r="F163" s="507">
        <v>106</v>
      </c>
      <c r="G163" s="506"/>
      <c r="H163" s="506"/>
      <c r="I163" s="506"/>
      <c r="J163" s="100"/>
      <c r="K163" s="100"/>
      <c r="L163" s="100"/>
      <c r="M163" s="100"/>
      <c r="N163" s="100"/>
      <c r="O163" s="100">
        <v>150</v>
      </c>
      <c r="P163" s="100">
        <f t="shared" si="47"/>
        <v>477</v>
      </c>
      <c r="Q163" s="100">
        <v>324</v>
      </c>
      <c r="R163" s="100">
        <f t="shared" si="35"/>
        <v>153</v>
      </c>
      <c r="S163" s="443">
        <f t="shared" si="34"/>
        <v>153</v>
      </c>
    </row>
    <row r="164" s="196" customFormat="1" ht="16.9" customHeight="1" spans="1:19">
      <c r="A164" s="183" t="s">
        <v>616</v>
      </c>
      <c r="B164" s="182" t="s">
        <v>378</v>
      </c>
      <c r="C164" s="100"/>
      <c r="D164" s="100">
        <f t="shared" si="46"/>
        <v>0</v>
      </c>
      <c r="E164" s="506"/>
      <c r="F164" s="507"/>
      <c r="G164" s="506"/>
      <c r="H164" s="506"/>
      <c r="I164" s="506"/>
      <c r="J164" s="100"/>
      <c r="K164" s="100"/>
      <c r="L164" s="100"/>
      <c r="M164" s="100"/>
      <c r="N164" s="100"/>
      <c r="O164" s="100"/>
      <c r="P164" s="100">
        <f t="shared" si="47"/>
        <v>0</v>
      </c>
      <c r="Q164" s="100"/>
      <c r="R164" s="100">
        <f t="shared" si="35"/>
        <v>0</v>
      </c>
      <c r="S164" s="443">
        <f t="shared" si="34"/>
        <v>0</v>
      </c>
    </row>
    <row r="165" s="196" customFormat="1" ht="16.9" customHeight="1" spans="1:19">
      <c r="A165" s="183" t="s">
        <v>617</v>
      </c>
      <c r="B165" s="182" t="s">
        <v>379</v>
      </c>
      <c r="C165" s="100"/>
      <c r="D165" s="100">
        <f t="shared" si="46"/>
        <v>49</v>
      </c>
      <c r="E165" s="506"/>
      <c r="F165" s="507">
        <v>49</v>
      </c>
      <c r="G165" s="506"/>
      <c r="H165" s="506"/>
      <c r="I165" s="506"/>
      <c r="J165" s="506"/>
      <c r="K165" s="100"/>
      <c r="L165" s="100"/>
      <c r="M165" s="100"/>
      <c r="N165" s="100"/>
      <c r="O165" s="100"/>
      <c r="P165" s="100">
        <f t="shared" si="47"/>
        <v>49</v>
      </c>
      <c r="Q165" s="100">
        <v>49</v>
      </c>
      <c r="R165" s="100">
        <f t="shared" si="35"/>
        <v>0</v>
      </c>
      <c r="S165" s="443">
        <f t="shared" si="34"/>
        <v>0</v>
      </c>
    </row>
    <row r="166" s="196" customFormat="1" ht="16.9" customHeight="1" spans="1:19">
      <c r="A166" s="183" t="s">
        <v>618</v>
      </c>
      <c r="B166" s="182" t="s">
        <v>380</v>
      </c>
      <c r="C166" s="100"/>
      <c r="D166" s="100">
        <f t="shared" si="46"/>
        <v>0</v>
      </c>
      <c r="E166" s="506"/>
      <c r="F166" s="507"/>
      <c r="G166" s="506"/>
      <c r="H166" s="506"/>
      <c r="I166" s="506"/>
      <c r="J166" s="506"/>
      <c r="K166" s="100"/>
      <c r="L166" s="100"/>
      <c r="M166" s="100"/>
      <c r="N166" s="100"/>
      <c r="O166" s="100"/>
      <c r="P166" s="100">
        <f t="shared" si="47"/>
        <v>0</v>
      </c>
      <c r="Q166" s="100"/>
      <c r="R166" s="100">
        <f t="shared" si="35"/>
        <v>0</v>
      </c>
      <c r="S166" s="443">
        <f t="shared" si="34"/>
        <v>0</v>
      </c>
    </row>
    <row r="167" s="196" customFormat="1" ht="17.1" customHeight="1" spans="1:19">
      <c r="A167" s="183" t="s">
        <v>619</v>
      </c>
      <c r="B167" s="182" t="s">
        <v>381</v>
      </c>
      <c r="C167" s="100"/>
      <c r="D167" s="100">
        <f t="shared" si="46"/>
        <v>0</v>
      </c>
      <c r="E167" s="506"/>
      <c r="F167" s="507"/>
      <c r="G167" s="506"/>
      <c r="H167" s="506"/>
      <c r="I167" s="506"/>
      <c r="J167" s="506"/>
      <c r="K167" s="100"/>
      <c r="L167" s="100"/>
      <c r="M167" s="100"/>
      <c r="N167" s="100"/>
      <c r="O167" s="100"/>
      <c r="P167" s="100">
        <f t="shared" si="47"/>
        <v>0</v>
      </c>
      <c r="Q167" s="100"/>
      <c r="R167" s="100">
        <f t="shared" si="35"/>
        <v>0</v>
      </c>
      <c r="S167" s="443">
        <f t="shared" si="34"/>
        <v>0</v>
      </c>
    </row>
    <row r="168" s="196" customFormat="1" ht="16.9" customHeight="1" spans="1:19">
      <c r="A168" s="183" t="s">
        <v>620</v>
      </c>
      <c r="B168" s="182" t="s">
        <v>382</v>
      </c>
      <c r="C168" s="510">
        <v>1260</v>
      </c>
      <c r="D168" s="100">
        <f t="shared" si="46"/>
        <v>40</v>
      </c>
      <c r="E168" s="506"/>
      <c r="F168" s="507">
        <v>40</v>
      </c>
      <c r="G168" s="506"/>
      <c r="H168" s="506"/>
      <c r="I168" s="506"/>
      <c r="J168" s="506"/>
      <c r="K168" s="100"/>
      <c r="L168" s="100"/>
      <c r="M168" s="100"/>
      <c r="N168" s="100"/>
      <c r="O168" s="100"/>
      <c r="P168" s="100">
        <f t="shared" si="47"/>
        <v>1300</v>
      </c>
      <c r="Q168" s="100">
        <v>700</v>
      </c>
      <c r="R168" s="100">
        <f t="shared" si="35"/>
        <v>600</v>
      </c>
      <c r="S168" s="443">
        <f t="shared" si="34"/>
        <v>600</v>
      </c>
    </row>
    <row r="169" s="196" customFormat="1" ht="16.9" customHeight="1" spans="1:19">
      <c r="A169" s="504" t="s">
        <v>621</v>
      </c>
      <c r="B169" s="505" t="s">
        <v>383</v>
      </c>
      <c r="C169" s="443">
        <f t="shared" ref="C169:Q169" si="48">SUM(C170:C172)</f>
        <v>548</v>
      </c>
      <c r="D169" s="443">
        <f t="shared" si="48"/>
        <v>-10</v>
      </c>
      <c r="E169" s="443">
        <f t="shared" si="48"/>
        <v>0</v>
      </c>
      <c r="F169" s="443">
        <f t="shared" si="48"/>
        <v>-10</v>
      </c>
      <c r="G169" s="443">
        <f t="shared" si="48"/>
        <v>0</v>
      </c>
      <c r="H169" s="443">
        <f t="shared" si="48"/>
        <v>0</v>
      </c>
      <c r="I169" s="443">
        <f t="shared" si="48"/>
        <v>0</v>
      </c>
      <c r="J169" s="443">
        <f t="shared" si="48"/>
        <v>0</v>
      </c>
      <c r="K169" s="443">
        <f t="shared" si="48"/>
        <v>0</v>
      </c>
      <c r="L169" s="443">
        <f t="shared" si="48"/>
        <v>0</v>
      </c>
      <c r="M169" s="443">
        <f t="shared" si="48"/>
        <v>0</v>
      </c>
      <c r="N169" s="443">
        <f t="shared" si="48"/>
        <v>0</v>
      </c>
      <c r="O169" s="443">
        <f t="shared" si="48"/>
        <v>0</v>
      </c>
      <c r="P169" s="443">
        <f t="shared" si="48"/>
        <v>538</v>
      </c>
      <c r="Q169" s="443">
        <f t="shared" si="48"/>
        <v>538</v>
      </c>
      <c r="R169" s="100">
        <f t="shared" si="35"/>
        <v>0</v>
      </c>
      <c r="S169" s="443">
        <f t="shared" si="34"/>
        <v>0</v>
      </c>
    </row>
    <row r="170" s="196" customFormat="1" ht="16.9" customHeight="1" spans="1:19">
      <c r="A170" s="183" t="s">
        <v>622</v>
      </c>
      <c r="B170" s="182" t="s">
        <v>384</v>
      </c>
      <c r="C170" s="510">
        <v>548</v>
      </c>
      <c r="D170" s="100">
        <f t="shared" ref="D170:D172" si="49">SUM(E170:O170)</f>
        <v>-10</v>
      </c>
      <c r="E170" s="506"/>
      <c r="F170" s="100">
        <v>-10</v>
      </c>
      <c r="G170" s="506">
        <v>0</v>
      </c>
      <c r="H170" s="506">
        <v>0</v>
      </c>
      <c r="I170" s="506"/>
      <c r="J170" s="100"/>
      <c r="K170" s="100"/>
      <c r="L170" s="100"/>
      <c r="M170" s="100"/>
      <c r="N170" s="100"/>
      <c r="O170" s="100"/>
      <c r="P170" s="100">
        <f t="shared" ref="P170:P172" si="50">C170+D170</f>
        <v>538</v>
      </c>
      <c r="Q170" s="100">
        <v>538</v>
      </c>
      <c r="R170" s="100">
        <f t="shared" si="35"/>
        <v>0</v>
      </c>
      <c r="S170" s="443">
        <f t="shared" si="34"/>
        <v>0</v>
      </c>
    </row>
    <row r="171" s="196" customFormat="1" ht="16.9" customHeight="1" spans="1:19">
      <c r="A171" s="183" t="s">
        <v>623</v>
      </c>
      <c r="B171" s="182" t="s">
        <v>385</v>
      </c>
      <c r="C171" s="100">
        <v>0</v>
      </c>
      <c r="D171" s="100">
        <f t="shared" si="49"/>
        <v>0</v>
      </c>
      <c r="E171" s="506">
        <v>0</v>
      </c>
      <c r="F171" s="507">
        <v>0</v>
      </c>
      <c r="G171" s="506">
        <v>0</v>
      </c>
      <c r="H171" s="506">
        <v>0</v>
      </c>
      <c r="I171" s="506"/>
      <c r="J171" s="100"/>
      <c r="K171" s="100"/>
      <c r="L171" s="100"/>
      <c r="M171" s="100"/>
      <c r="N171" s="100"/>
      <c r="O171" s="100"/>
      <c r="P171" s="100">
        <f t="shared" si="50"/>
        <v>0</v>
      </c>
      <c r="Q171" s="100">
        <v>0</v>
      </c>
      <c r="R171" s="100">
        <f t="shared" si="35"/>
        <v>0</v>
      </c>
      <c r="S171" s="443">
        <f t="shared" si="34"/>
        <v>0</v>
      </c>
    </row>
    <row r="172" s="196" customFormat="1" ht="16.9" customHeight="1" spans="1:19">
      <c r="A172" s="183" t="s">
        <v>624</v>
      </c>
      <c r="B172" s="182" t="s">
        <v>386</v>
      </c>
      <c r="C172" s="100">
        <v>0</v>
      </c>
      <c r="D172" s="100">
        <f t="shared" si="49"/>
        <v>0</v>
      </c>
      <c r="E172" s="506"/>
      <c r="F172" s="507">
        <v>0</v>
      </c>
      <c r="G172" s="506">
        <v>0</v>
      </c>
      <c r="H172" s="506">
        <v>0</v>
      </c>
      <c r="I172" s="506"/>
      <c r="J172" s="100"/>
      <c r="K172" s="100"/>
      <c r="L172" s="100"/>
      <c r="M172" s="100"/>
      <c r="N172" s="100"/>
      <c r="O172" s="100"/>
      <c r="P172" s="100">
        <f t="shared" si="50"/>
        <v>0</v>
      </c>
      <c r="Q172" s="100">
        <v>0</v>
      </c>
      <c r="R172" s="100">
        <f t="shared" si="35"/>
        <v>0</v>
      </c>
      <c r="S172" s="443">
        <f t="shared" si="34"/>
        <v>0</v>
      </c>
    </row>
    <row r="173" s="196" customFormat="1" ht="16.9" customHeight="1" spans="1:19">
      <c r="A173" s="504" t="s">
        <v>625</v>
      </c>
      <c r="B173" s="505" t="s">
        <v>387</v>
      </c>
      <c r="C173" s="443">
        <f t="shared" ref="C173:Q173" si="51">SUM(C174:C176)</f>
        <v>2207</v>
      </c>
      <c r="D173" s="443">
        <f t="shared" si="51"/>
        <v>-2142</v>
      </c>
      <c r="E173" s="443">
        <f t="shared" si="51"/>
        <v>-563</v>
      </c>
      <c r="F173" s="443">
        <f t="shared" si="51"/>
        <v>-1582</v>
      </c>
      <c r="G173" s="443">
        <f t="shared" si="51"/>
        <v>0</v>
      </c>
      <c r="H173" s="443">
        <f t="shared" si="51"/>
        <v>0</v>
      </c>
      <c r="I173" s="443">
        <f t="shared" si="51"/>
        <v>0</v>
      </c>
      <c r="J173" s="443">
        <f t="shared" si="51"/>
        <v>0</v>
      </c>
      <c r="K173" s="443">
        <f t="shared" si="51"/>
        <v>0</v>
      </c>
      <c r="L173" s="443">
        <f t="shared" si="51"/>
        <v>0</v>
      </c>
      <c r="M173" s="443">
        <f t="shared" si="51"/>
        <v>0</v>
      </c>
      <c r="N173" s="443">
        <f t="shared" si="51"/>
        <v>0</v>
      </c>
      <c r="O173" s="443">
        <f t="shared" si="51"/>
        <v>3</v>
      </c>
      <c r="P173" s="443">
        <f t="shared" si="51"/>
        <v>65</v>
      </c>
      <c r="Q173" s="443">
        <f t="shared" si="51"/>
        <v>65</v>
      </c>
      <c r="R173" s="100">
        <f t="shared" si="35"/>
        <v>0</v>
      </c>
      <c r="S173" s="443">
        <f t="shared" si="34"/>
        <v>0</v>
      </c>
    </row>
    <row r="174" s="196" customFormat="1" ht="16.9" customHeight="1" spans="1:19">
      <c r="A174" s="183" t="s">
        <v>626</v>
      </c>
      <c r="B174" s="182" t="s">
        <v>390</v>
      </c>
      <c r="C174" s="100">
        <v>0</v>
      </c>
      <c r="D174" s="100">
        <f t="shared" ref="D174:D176" si="52">SUM(E174:O174)</f>
        <v>0</v>
      </c>
      <c r="E174" s="506">
        <v>0</v>
      </c>
      <c r="F174" s="507">
        <v>0</v>
      </c>
      <c r="G174" s="506">
        <v>0</v>
      </c>
      <c r="H174" s="506">
        <v>0</v>
      </c>
      <c r="I174" s="506"/>
      <c r="J174" s="100"/>
      <c r="K174" s="100"/>
      <c r="L174" s="100"/>
      <c r="M174" s="100"/>
      <c r="N174" s="100"/>
      <c r="O174" s="100"/>
      <c r="P174" s="100">
        <f t="shared" ref="P174:P176" si="53">C174+D174</f>
        <v>0</v>
      </c>
      <c r="Q174" s="100">
        <v>0</v>
      </c>
      <c r="R174" s="100">
        <f t="shared" si="35"/>
        <v>0</v>
      </c>
      <c r="S174" s="443">
        <f t="shared" si="34"/>
        <v>0</v>
      </c>
    </row>
    <row r="175" s="196" customFormat="1" ht="16.9" customHeight="1" spans="1:19">
      <c r="A175" s="183" t="s">
        <v>627</v>
      </c>
      <c r="B175" s="182" t="s">
        <v>391</v>
      </c>
      <c r="C175" s="510">
        <v>2207</v>
      </c>
      <c r="D175" s="100">
        <f t="shared" si="52"/>
        <v>-2142</v>
      </c>
      <c r="E175" s="506">
        <f>-500-63</f>
        <v>-563</v>
      </c>
      <c r="F175" s="507">
        <v>-1582</v>
      </c>
      <c r="G175" s="506">
        <v>0</v>
      </c>
      <c r="H175" s="506"/>
      <c r="I175" s="506"/>
      <c r="J175" s="100"/>
      <c r="K175" s="100"/>
      <c r="L175" s="100"/>
      <c r="M175" s="100"/>
      <c r="N175" s="100"/>
      <c r="O175" s="100">
        <v>3</v>
      </c>
      <c r="P175" s="100">
        <f t="shared" si="53"/>
        <v>65</v>
      </c>
      <c r="Q175" s="100">
        <v>65</v>
      </c>
      <c r="R175" s="100">
        <f t="shared" si="35"/>
        <v>0</v>
      </c>
      <c r="S175" s="443">
        <f t="shared" si="34"/>
        <v>0</v>
      </c>
    </row>
    <row r="176" s="196" customFormat="1" ht="16.9" customHeight="1" spans="1:19">
      <c r="A176" s="183" t="s">
        <v>628</v>
      </c>
      <c r="B176" s="182" t="s">
        <v>392</v>
      </c>
      <c r="C176" s="100">
        <v>0</v>
      </c>
      <c r="D176" s="100">
        <f t="shared" si="52"/>
        <v>0</v>
      </c>
      <c r="E176" s="506"/>
      <c r="F176" s="507"/>
      <c r="G176" s="506">
        <v>0</v>
      </c>
      <c r="H176" s="506">
        <v>0</v>
      </c>
      <c r="I176" s="506"/>
      <c r="J176" s="100"/>
      <c r="K176" s="100"/>
      <c r="L176" s="100"/>
      <c r="M176" s="100"/>
      <c r="N176" s="100"/>
      <c r="O176" s="100"/>
      <c r="P176" s="100">
        <f t="shared" si="53"/>
        <v>0</v>
      </c>
      <c r="Q176" s="100"/>
      <c r="R176" s="100">
        <f t="shared" si="35"/>
        <v>0</v>
      </c>
      <c r="S176" s="443">
        <f t="shared" si="34"/>
        <v>0</v>
      </c>
    </row>
    <row r="177" s="196" customFormat="1" ht="16.9" customHeight="1" spans="1:19">
      <c r="A177" s="504" t="s">
        <v>629</v>
      </c>
      <c r="B177" s="505" t="s">
        <v>393</v>
      </c>
      <c r="C177" s="443">
        <f t="shared" ref="C177:Q177" si="54">SUM(C178:C186)</f>
        <v>0</v>
      </c>
      <c r="D177" s="443">
        <f t="shared" si="54"/>
        <v>0</v>
      </c>
      <c r="E177" s="443">
        <f t="shared" si="54"/>
        <v>0</v>
      </c>
      <c r="F177" s="443">
        <f t="shared" si="54"/>
        <v>0</v>
      </c>
      <c r="G177" s="443">
        <f t="shared" si="54"/>
        <v>0</v>
      </c>
      <c r="H177" s="443">
        <f t="shared" si="54"/>
        <v>0</v>
      </c>
      <c r="I177" s="443">
        <f t="shared" si="54"/>
        <v>0</v>
      </c>
      <c r="J177" s="443">
        <f t="shared" si="54"/>
        <v>0</v>
      </c>
      <c r="K177" s="443">
        <f t="shared" si="54"/>
        <v>0</v>
      </c>
      <c r="L177" s="443">
        <f t="shared" si="54"/>
        <v>0</v>
      </c>
      <c r="M177" s="443">
        <f t="shared" si="54"/>
        <v>0</v>
      </c>
      <c r="N177" s="443">
        <f t="shared" si="54"/>
        <v>0</v>
      </c>
      <c r="O177" s="443">
        <f t="shared" si="54"/>
        <v>0</v>
      </c>
      <c r="P177" s="443">
        <f t="shared" si="54"/>
        <v>0</v>
      </c>
      <c r="Q177" s="443">
        <f t="shared" si="54"/>
        <v>0</v>
      </c>
      <c r="R177" s="100">
        <f t="shared" si="35"/>
        <v>0</v>
      </c>
      <c r="S177" s="443">
        <f t="shared" si="34"/>
        <v>0</v>
      </c>
    </row>
    <row r="178" s="196" customFormat="1" ht="16.9" customHeight="1" spans="1:19">
      <c r="A178" s="183" t="s">
        <v>630</v>
      </c>
      <c r="B178" s="182" t="s">
        <v>166</v>
      </c>
      <c r="C178" s="100">
        <v>0</v>
      </c>
      <c r="D178" s="100">
        <f t="shared" ref="D178:D186" si="55">SUM(E178:O178)</f>
        <v>0</v>
      </c>
      <c r="E178" s="506">
        <v>0</v>
      </c>
      <c r="F178" s="507">
        <v>0</v>
      </c>
      <c r="G178" s="506">
        <v>0</v>
      </c>
      <c r="H178" s="506">
        <v>0</v>
      </c>
      <c r="I178" s="506"/>
      <c r="J178" s="100"/>
      <c r="K178" s="100"/>
      <c r="L178" s="100"/>
      <c r="M178" s="100"/>
      <c r="N178" s="100"/>
      <c r="O178" s="100"/>
      <c r="P178" s="100">
        <f t="shared" ref="P178:P186" si="56">C178+D178</f>
        <v>0</v>
      </c>
      <c r="Q178" s="100">
        <v>0</v>
      </c>
      <c r="R178" s="100">
        <f t="shared" si="35"/>
        <v>0</v>
      </c>
      <c r="S178" s="443">
        <f t="shared" si="34"/>
        <v>0</v>
      </c>
    </row>
    <row r="179" s="196" customFormat="1" ht="16.9" customHeight="1" spans="1:19">
      <c r="A179" s="183" t="s">
        <v>631</v>
      </c>
      <c r="B179" s="182" t="s">
        <v>170</v>
      </c>
      <c r="C179" s="100">
        <v>0</v>
      </c>
      <c r="D179" s="100">
        <f t="shared" si="55"/>
        <v>0</v>
      </c>
      <c r="E179" s="506">
        <v>0</v>
      </c>
      <c r="F179" s="507">
        <v>0</v>
      </c>
      <c r="G179" s="506">
        <v>0</v>
      </c>
      <c r="H179" s="506">
        <v>0</v>
      </c>
      <c r="I179" s="506"/>
      <c r="J179" s="100"/>
      <c r="K179" s="100"/>
      <c r="L179" s="100"/>
      <c r="M179" s="100"/>
      <c r="N179" s="100"/>
      <c r="O179" s="100"/>
      <c r="P179" s="100">
        <f t="shared" si="56"/>
        <v>0</v>
      </c>
      <c r="Q179" s="100">
        <v>0</v>
      </c>
      <c r="R179" s="100">
        <f t="shared" si="35"/>
        <v>0</v>
      </c>
      <c r="S179" s="443">
        <f t="shared" si="34"/>
        <v>0</v>
      </c>
    </row>
    <row r="180" s="196" customFormat="1" ht="16.9" customHeight="1" spans="1:19">
      <c r="A180" s="183" t="s">
        <v>632</v>
      </c>
      <c r="B180" s="182" t="s">
        <v>173</v>
      </c>
      <c r="C180" s="100">
        <v>0</v>
      </c>
      <c r="D180" s="100">
        <f t="shared" si="55"/>
        <v>0</v>
      </c>
      <c r="E180" s="506">
        <v>0</v>
      </c>
      <c r="F180" s="507">
        <v>0</v>
      </c>
      <c r="G180" s="506">
        <v>0</v>
      </c>
      <c r="H180" s="506">
        <v>0</v>
      </c>
      <c r="I180" s="506"/>
      <c r="J180" s="100"/>
      <c r="K180" s="100"/>
      <c r="L180" s="100"/>
      <c r="M180" s="100"/>
      <c r="N180" s="100"/>
      <c r="O180" s="100"/>
      <c r="P180" s="100">
        <f t="shared" si="56"/>
        <v>0</v>
      </c>
      <c r="Q180" s="100">
        <v>0</v>
      </c>
      <c r="R180" s="100">
        <f t="shared" si="35"/>
        <v>0</v>
      </c>
      <c r="S180" s="443">
        <f t="shared" si="34"/>
        <v>0</v>
      </c>
    </row>
    <row r="181" s="196" customFormat="1" ht="16.9" customHeight="1" spans="1:19">
      <c r="A181" s="183" t="s">
        <v>633</v>
      </c>
      <c r="B181" s="182" t="s">
        <v>176</v>
      </c>
      <c r="C181" s="100">
        <v>0</v>
      </c>
      <c r="D181" s="100">
        <f t="shared" si="55"/>
        <v>0</v>
      </c>
      <c r="E181" s="506">
        <v>0</v>
      </c>
      <c r="F181" s="507">
        <v>0</v>
      </c>
      <c r="G181" s="506">
        <v>0</v>
      </c>
      <c r="H181" s="506">
        <v>0</v>
      </c>
      <c r="I181" s="506"/>
      <c r="J181" s="100"/>
      <c r="K181" s="100"/>
      <c r="L181" s="100"/>
      <c r="M181" s="100"/>
      <c r="N181" s="100"/>
      <c r="O181" s="100"/>
      <c r="P181" s="100">
        <f t="shared" si="56"/>
        <v>0</v>
      </c>
      <c r="Q181" s="100">
        <v>0</v>
      </c>
      <c r="R181" s="100">
        <f t="shared" si="35"/>
        <v>0</v>
      </c>
      <c r="S181" s="443">
        <f t="shared" si="34"/>
        <v>0</v>
      </c>
    </row>
    <row r="182" s="196" customFormat="1" ht="16.9" customHeight="1" spans="1:19">
      <c r="A182" s="183" t="s">
        <v>634</v>
      </c>
      <c r="B182" s="182" t="s">
        <v>177</v>
      </c>
      <c r="C182" s="100">
        <v>0</v>
      </c>
      <c r="D182" s="100">
        <f t="shared" si="55"/>
        <v>0</v>
      </c>
      <c r="E182" s="506">
        <v>0</v>
      </c>
      <c r="F182" s="507">
        <v>0</v>
      </c>
      <c r="G182" s="506">
        <v>0</v>
      </c>
      <c r="H182" s="506">
        <v>0</v>
      </c>
      <c r="I182" s="506"/>
      <c r="J182" s="100"/>
      <c r="K182" s="100"/>
      <c r="L182" s="100"/>
      <c r="M182" s="100"/>
      <c r="N182" s="100"/>
      <c r="O182" s="100"/>
      <c r="P182" s="100">
        <f t="shared" si="56"/>
        <v>0</v>
      </c>
      <c r="Q182" s="100">
        <v>0</v>
      </c>
      <c r="R182" s="100">
        <f t="shared" si="35"/>
        <v>0</v>
      </c>
      <c r="S182" s="443">
        <f t="shared" si="34"/>
        <v>0</v>
      </c>
    </row>
    <row r="183" s="196" customFormat="1" ht="16.9" customHeight="1" spans="1:19">
      <c r="A183" s="183" t="s">
        <v>635</v>
      </c>
      <c r="B183" s="182" t="s">
        <v>359</v>
      </c>
      <c r="C183" s="100">
        <v>0</v>
      </c>
      <c r="D183" s="100">
        <f t="shared" si="55"/>
        <v>0</v>
      </c>
      <c r="E183" s="506">
        <v>0</v>
      </c>
      <c r="F183" s="507">
        <v>0</v>
      </c>
      <c r="G183" s="506">
        <v>0</v>
      </c>
      <c r="H183" s="506">
        <v>0</v>
      </c>
      <c r="I183" s="506"/>
      <c r="J183" s="100"/>
      <c r="K183" s="100"/>
      <c r="L183" s="100"/>
      <c r="M183" s="100"/>
      <c r="N183" s="100"/>
      <c r="O183" s="100"/>
      <c r="P183" s="100">
        <f t="shared" si="56"/>
        <v>0</v>
      </c>
      <c r="Q183" s="100">
        <v>0</v>
      </c>
      <c r="R183" s="100">
        <f t="shared" si="35"/>
        <v>0</v>
      </c>
      <c r="S183" s="443">
        <f t="shared" si="34"/>
        <v>0</v>
      </c>
    </row>
    <row r="184" s="196" customFormat="1" ht="16.9" customHeight="1" spans="1:19">
      <c r="A184" s="183" t="s">
        <v>636</v>
      </c>
      <c r="B184" s="182" t="s">
        <v>180</v>
      </c>
      <c r="C184" s="100">
        <v>0</v>
      </c>
      <c r="D184" s="100">
        <f t="shared" si="55"/>
        <v>0</v>
      </c>
      <c r="E184" s="506">
        <v>0</v>
      </c>
      <c r="F184" s="507">
        <v>0</v>
      </c>
      <c r="G184" s="506">
        <v>0</v>
      </c>
      <c r="H184" s="506">
        <v>0</v>
      </c>
      <c r="I184" s="506"/>
      <c r="J184" s="100"/>
      <c r="K184" s="100"/>
      <c r="L184" s="100"/>
      <c r="M184" s="100"/>
      <c r="N184" s="100"/>
      <c r="O184" s="100"/>
      <c r="P184" s="100">
        <f t="shared" si="56"/>
        <v>0</v>
      </c>
      <c r="Q184" s="100">
        <v>0</v>
      </c>
      <c r="R184" s="100">
        <f t="shared" si="35"/>
        <v>0</v>
      </c>
      <c r="S184" s="443">
        <f t="shared" si="34"/>
        <v>0</v>
      </c>
    </row>
    <row r="185" s="196" customFormat="1" ht="16.9" customHeight="1" spans="1:19">
      <c r="A185" s="183" t="s">
        <v>637</v>
      </c>
      <c r="B185" s="182" t="s">
        <v>186</v>
      </c>
      <c r="C185" s="100">
        <v>0</v>
      </c>
      <c r="D185" s="100">
        <f t="shared" si="55"/>
        <v>0</v>
      </c>
      <c r="E185" s="506">
        <v>0</v>
      </c>
      <c r="F185" s="507">
        <v>0</v>
      </c>
      <c r="G185" s="506">
        <v>0</v>
      </c>
      <c r="H185" s="506">
        <v>0</v>
      </c>
      <c r="I185" s="506"/>
      <c r="J185" s="100"/>
      <c r="K185" s="100"/>
      <c r="L185" s="100"/>
      <c r="M185" s="100"/>
      <c r="N185" s="100"/>
      <c r="O185" s="100"/>
      <c r="P185" s="100">
        <f t="shared" si="56"/>
        <v>0</v>
      </c>
      <c r="Q185" s="100">
        <v>0</v>
      </c>
      <c r="R185" s="100">
        <f t="shared" si="35"/>
        <v>0</v>
      </c>
      <c r="S185" s="443">
        <f t="shared" si="34"/>
        <v>0</v>
      </c>
    </row>
    <row r="186" s="196" customFormat="1" ht="16.9" customHeight="1" spans="1:19">
      <c r="A186" s="183" t="s">
        <v>638</v>
      </c>
      <c r="B186" s="182" t="s">
        <v>189</v>
      </c>
      <c r="C186" s="100">
        <v>0</v>
      </c>
      <c r="D186" s="100">
        <f t="shared" si="55"/>
        <v>0</v>
      </c>
      <c r="E186" s="506">
        <v>0</v>
      </c>
      <c r="F186" s="507">
        <v>0</v>
      </c>
      <c r="G186" s="506">
        <v>0</v>
      </c>
      <c r="H186" s="506">
        <v>0</v>
      </c>
      <c r="I186" s="506"/>
      <c r="J186" s="100"/>
      <c r="K186" s="100"/>
      <c r="L186" s="100"/>
      <c r="M186" s="100"/>
      <c r="N186" s="100"/>
      <c r="O186" s="100"/>
      <c r="P186" s="100">
        <f t="shared" si="56"/>
        <v>0</v>
      </c>
      <c r="Q186" s="100">
        <v>0</v>
      </c>
      <c r="R186" s="100">
        <f t="shared" si="35"/>
        <v>0</v>
      </c>
      <c r="S186" s="443">
        <f t="shared" si="34"/>
        <v>0</v>
      </c>
    </row>
    <row r="187" s="196" customFormat="1" ht="16.9" customHeight="1" spans="1:19">
      <c r="A187" s="504" t="s">
        <v>639</v>
      </c>
      <c r="B187" s="505" t="s">
        <v>395</v>
      </c>
      <c r="C187" s="443">
        <f t="shared" ref="C187:Q187" si="57">SUM(C188:C192)</f>
        <v>1655</v>
      </c>
      <c r="D187" s="443">
        <f t="shared" si="57"/>
        <v>-405</v>
      </c>
      <c r="E187" s="443">
        <f t="shared" si="57"/>
        <v>0</v>
      </c>
      <c r="F187" s="443">
        <f t="shared" si="57"/>
        <v>-405</v>
      </c>
      <c r="G187" s="443">
        <f t="shared" si="57"/>
        <v>0</v>
      </c>
      <c r="H187" s="443">
        <f t="shared" si="57"/>
        <v>0</v>
      </c>
      <c r="I187" s="443">
        <f t="shared" si="57"/>
        <v>0</v>
      </c>
      <c r="J187" s="443">
        <f t="shared" si="57"/>
        <v>0</v>
      </c>
      <c r="K187" s="443">
        <f t="shared" si="57"/>
        <v>0</v>
      </c>
      <c r="L187" s="443">
        <f t="shared" si="57"/>
        <v>0</v>
      </c>
      <c r="M187" s="443">
        <f t="shared" si="57"/>
        <v>0</v>
      </c>
      <c r="N187" s="443">
        <f t="shared" si="57"/>
        <v>0</v>
      </c>
      <c r="O187" s="443">
        <f t="shared" si="57"/>
        <v>0</v>
      </c>
      <c r="P187" s="443">
        <f t="shared" si="57"/>
        <v>1250</v>
      </c>
      <c r="Q187" s="443">
        <f t="shared" si="57"/>
        <v>1185</v>
      </c>
      <c r="R187" s="100">
        <f t="shared" si="35"/>
        <v>65</v>
      </c>
      <c r="S187" s="443">
        <f t="shared" si="34"/>
        <v>65</v>
      </c>
    </row>
    <row r="188" s="196" customFormat="1" ht="16.9" customHeight="1" spans="1:19">
      <c r="A188" s="183" t="s">
        <v>640</v>
      </c>
      <c r="B188" s="182" t="s">
        <v>396</v>
      </c>
      <c r="C188" s="159">
        <v>1514</v>
      </c>
      <c r="D188" s="100">
        <f t="shared" ref="D188:D192" si="58">SUM(E188:O188)</f>
        <v>-317</v>
      </c>
      <c r="E188" s="506"/>
      <c r="F188" s="507">
        <v>-317</v>
      </c>
      <c r="G188" s="506"/>
      <c r="H188" s="506"/>
      <c r="I188" s="506"/>
      <c r="J188" s="100"/>
      <c r="K188" s="100"/>
      <c r="L188" s="100"/>
      <c r="M188" s="100"/>
      <c r="N188" s="100"/>
      <c r="O188" s="100"/>
      <c r="P188" s="100">
        <f t="shared" ref="P188:P192" si="59">C188+D188</f>
        <v>1197</v>
      </c>
      <c r="Q188" s="100">
        <v>1132</v>
      </c>
      <c r="R188" s="100">
        <f t="shared" si="35"/>
        <v>65</v>
      </c>
      <c r="S188" s="443">
        <f t="shared" si="34"/>
        <v>65</v>
      </c>
    </row>
    <row r="189" s="196" customFormat="1" ht="16.9" customHeight="1" spans="1:19">
      <c r="A189" s="183" t="s">
        <v>641</v>
      </c>
      <c r="B189" s="182" t="s">
        <v>397</v>
      </c>
      <c r="C189" s="159"/>
      <c r="D189" s="100">
        <f t="shared" si="58"/>
        <v>0</v>
      </c>
      <c r="E189" s="506"/>
      <c r="F189" s="507"/>
      <c r="G189" s="506"/>
      <c r="H189" s="506"/>
      <c r="I189" s="506"/>
      <c r="J189" s="100"/>
      <c r="K189" s="100"/>
      <c r="L189" s="100"/>
      <c r="M189" s="100"/>
      <c r="N189" s="100"/>
      <c r="O189" s="100"/>
      <c r="P189" s="100">
        <f t="shared" si="59"/>
        <v>0</v>
      </c>
      <c r="Q189" s="100"/>
      <c r="R189" s="100">
        <f t="shared" si="35"/>
        <v>0</v>
      </c>
      <c r="S189" s="443">
        <f t="shared" si="34"/>
        <v>0</v>
      </c>
    </row>
    <row r="190" s="196" customFormat="1" ht="16.9" customHeight="1" spans="1:19">
      <c r="A190" s="183" t="s">
        <v>642</v>
      </c>
      <c r="B190" s="182" t="s">
        <v>398</v>
      </c>
      <c r="C190" s="159"/>
      <c r="D190" s="100">
        <f t="shared" si="58"/>
        <v>0</v>
      </c>
      <c r="E190" s="506"/>
      <c r="F190" s="507"/>
      <c r="G190" s="506"/>
      <c r="H190" s="506"/>
      <c r="I190" s="506"/>
      <c r="J190" s="100"/>
      <c r="K190" s="100"/>
      <c r="L190" s="100"/>
      <c r="M190" s="100"/>
      <c r="N190" s="100"/>
      <c r="O190" s="100"/>
      <c r="P190" s="100">
        <f t="shared" si="59"/>
        <v>0</v>
      </c>
      <c r="Q190" s="100"/>
      <c r="R190" s="100">
        <f t="shared" si="35"/>
        <v>0</v>
      </c>
      <c r="S190" s="443">
        <f t="shared" si="34"/>
        <v>0</v>
      </c>
    </row>
    <row r="191" s="196" customFormat="1" ht="16.9" customHeight="1" spans="1:19">
      <c r="A191" s="183" t="s">
        <v>643</v>
      </c>
      <c r="B191" s="182" t="s">
        <v>399</v>
      </c>
      <c r="C191" s="159">
        <v>141</v>
      </c>
      <c r="D191" s="100">
        <f t="shared" si="58"/>
        <v>-88</v>
      </c>
      <c r="E191" s="506"/>
      <c r="F191" s="507">
        <v>-88</v>
      </c>
      <c r="G191" s="506"/>
      <c r="H191" s="506"/>
      <c r="I191" s="506"/>
      <c r="J191" s="100"/>
      <c r="K191" s="100"/>
      <c r="L191" s="100"/>
      <c r="M191" s="100"/>
      <c r="N191" s="100"/>
      <c r="O191" s="100"/>
      <c r="P191" s="100">
        <f t="shared" si="59"/>
        <v>53</v>
      </c>
      <c r="Q191" s="100">
        <v>53</v>
      </c>
      <c r="R191" s="100">
        <f t="shared" si="35"/>
        <v>0</v>
      </c>
      <c r="S191" s="443">
        <f t="shared" si="34"/>
        <v>0</v>
      </c>
    </row>
    <row r="192" s="196" customFormat="1" ht="16.9" customHeight="1" spans="1:19">
      <c r="A192" s="183" t="s">
        <v>644</v>
      </c>
      <c r="B192" s="182" t="s">
        <v>400</v>
      </c>
      <c r="C192" s="510"/>
      <c r="D192" s="100">
        <f t="shared" si="58"/>
        <v>0</v>
      </c>
      <c r="E192" s="506"/>
      <c r="F192" s="507"/>
      <c r="G192" s="506"/>
      <c r="H192" s="506"/>
      <c r="I192" s="506"/>
      <c r="J192" s="100"/>
      <c r="K192" s="100"/>
      <c r="L192" s="100"/>
      <c r="M192" s="100"/>
      <c r="N192" s="522"/>
      <c r="O192" s="100"/>
      <c r="P192" s="100">
        <f t="shared" si="59"/>
        <v>0</v>
      </c>
      <c r="Q192" s="100"/>
      <c r="R192" s="100">
        <f t="shared" si="35"/>
        <v>0</v>
      </c>
      <c r="S192" s="443">
        <f t="shared" si="34"/>
        <v>0</v>
      </c>
    </row>
    <row r="193" s="403" customFormat="1" ht="16.9" customHeight="1" spans="1:19">
      <c r="A193" s="504" t="s">
        <v>645</v>
      </c>
      <c r="B193" s="505" t="s">
        <v>401</v>
      </c>
      <c r="C193" s="523">
        <f t="shared" ref="C193:Q193" si="60">SUM(C194:C196)</f>
        <v>11231</v>
      </c>
      <c r="D193" s="523">
        <f t="shared" si="60"/>
        <v>-1144</v>
      </c>
      <c r="E193" s="523">
        <f t="shared" si="60"/>
        <v>248</v>
      </c>
      <c r="F193" s="523">
        <f t="shared" si="60"/>
        <v>-1460</v>
      </c>
      <c r="G193" s="523">
        <f t="shared" si="60"/>
        <v>0</v>
      </c>
      <c r="H193" s="523">
        <f t="shared" si="60"/>
        <v>0</v>
      </c>
      <c r="I193" s="523">
        <f t="shared" si="60"/>
        <v>0</v>
      </c>
      <c r="J193" s="443">
        <f t="shared" si="60"/>
        <v>0</v>
      </c>
      <c r="K193" s="523">
        <f t="shared" si="60"/>
        <v>0</v>
      </c>
      <c r="L193" s="523">
        <f t="shared" si="60"/>
        <v>68</v>
      </c>
      <c r="M193" s="523">
        <f t="shared" si="60"/>
        <v>0</v>
      </c>
      <c r="N193" s="523">
        <f t="shared" si="60"/>
        <v>0</v>
      </c>
      <c r="O193" s="523">
        <f t="shared" si="60"/>
        <v>0</v>
      </c>
      <c r="P193" s="523">
        <f t="shared" si="60"/>
        <v>10087</v>
      </c>
      <c r="Q193" s="523">
        <f t="shared" si="60"/>
        <v>9689</v>
      </c>
      <c r="R193" s="100">
        <f t="shared" si="35"/>
        <v>398</v>
      </c>
      <c r="S193" s="443">
        <f t="shared" si="34"/>
        <v>398</v>
      </c>
    </row>
    <row r="194" s="196" customFormat="1" ht="16.9" customHeight="1" spans="1:19">
      <c r="A194" s="183" t="s">
        <v>646</v>
      </c>
      <c r="B194" s="182" t="s">
        <v>402</v>
      </c>
      <c r="C194" s="510">
        <v>345</v>
      </c>
      <c r="D194" s="100">
        <f t="shared" ref="D194:D196" si="61">SUM(E194:O194)</f>
        <v>583</v>
      </c>
      <c r="E194" s="506">
        <v>248</v>
      </c>
      <c r="F194" s="507">
        <f>210+57</f>
        <v>267</v>
      </c>
      <c r="G194" s="506"/>
      <c r="H194" s="506"/>
      <c r="I194" s="506"/>
      <c r="J194" s="100"/>
      <c r="K194" s="100"/>
      <c r="L194" s="517">
        <v>68</v>
      </c>
      <c r="M194" s="100"/>
      <c r="N194" s="100"/>
      <c r="O194" s="100"/>
      <c r="P194" s="100">
        <f t="shared" ref="P194:P196" si="62">C194+D194</f>
        <v>928</v>
      </c>
      <c r="Q194" s="100">
        <v>530</v>
      </c>
      <c r="R194" s="100">
        <f t="shared" si="35"/>
        <v>398</v>
      </c>
      <c r="S194" s="443">
        <f t="shared" si="34"/>
        <v>398</v>
      </c>
    </row>
    <row r="195" s="196" customFormat="1" ht="16.9" customHeight="1" spans="1:19">
      <c r="A195" s="183" t="s">
        <v>647</v>
      </c>
      <c r="B195" s="182" t="s">
        <v>403</v>
      </c>
      <c r="C195" s="510">
        <v>10886</v>
      </c>
      <c r="D195" s="100">
        <f t="shared" si="61"/>
        <v>-1727</v>
      </c>
      <c r="E195" s="506"/>
      <c r="F195" s="507">
        <f>-1670-57</f>
        <v>-1727</v>
      </c>
      <c r="G195" s="506"/>
      <c r="H195" s="506"/>
      <c r="I195" s="506"/>
      <c r="J195" s="100"/>
      <c r="K195" s="100"/>
      <c r="L195" s="100"/>
      <c r="M195" s="100"/>
      <c r="N195" s="100"/>
      <c r="O195" s="100"/>
      <c r="P195" s="100">
        <f t="shared" si="62"/>
        <v>9159</v>
      </c>
      <c r="Q195" s="100">
        <v>9159</v>
      </c>
      <c r="R195" s="100">
        <f t="shared" si="35"/>
        <v>0</v>
      </c>
      <c r="S195" s="443">
        <f t="shared" si="34"/>
        <v>0</v>
      </c>
    </row>
    <row r="196" s="196" customFormat="1" ht="16.9" customHeight="1" spans="1:19">
      <c r="A196" s="183" t="s">
        <v>648</v>
      </c>
      <c r="B196" s="182" t="s">
        <v>404</v>
      </c>
      <c r="C196" s="510"/>
      <c r="D196" s="100">
        <f t="shared" si="61"/>
        <v>0</v>
      </c>
      <c r="E196" s="506"/>
      <c r="F196" s="507"/>
      <c r="G196" s="506"/>
      <c r="H196" s="506"/>
      <c r="I196" s="506"/>
      <c r="J196" s="100"/>
      <c r="K196" s="100"/>
      <c r="L196" s="100"/>
      <c r="M196" s="100"/>
      <c r="N196" s="100"/>
      <c r="O196" s="100"/>
      <c r="P196" s="100">
        <f t="shared" si="62"/>
        <v>0</v>
      </c>
      <c r="Q196" s="100"/>
      <c r="R196" s="100">
        <f t="shared" si="35"/>
        <v>0</v>
      </c>
      <c r="S196" s="443">
        <f t="shared" si="34"/>
        <v>0</v>
      </c>
    </row>
    <row r="197" s="403" customFormat="1" ht="16.9" customHeight="1" spans="1:19">
      <c r="A197" s="504" t="s">
        <v>649</v>
      </c>
      <c r="B197" s="505" t="s">
        <v>405</v>
      </c>
      <c r="C197" s="443">
        <f t="shared" ref="C197:Q197" si="63">SUM(C198:C201)</f>
        <v>182</v>
      </c>
      <c r="D197" s="443">
        <f t="shared" si="63"/>
        <v>-36</v>
      </c>
      <c r="E197" s="443">
        <f t="shared" si="63"/>
        <v>-1</v>
      </c>
      <c r="F197" s="443">
        <f t="shared" si="63"/>
        <v>-35</v>
      </c>
      <c r="G197" s="443">
        <f t="shared" si="63"/>
        <v>0</v>
      </c>
      <c r="H197" s="443">
        <f t="shared" si="63"/>
        <v>0</v>
      </c>
      <c r="I197" s="443">
        <f t="shared" si="63"/>
        <v>0</v>
      </c>
      <c r="J197" s="443">
        <f t="shared" si="63"/>
        <v>0</v>
      </c>
      <c r="K197" s="443">
        <f t="shared" si="63"/>
        <v>0</v>
      </c>
      <c r="L197" s="443">
        <f t="shared" si="63"/>
        <v>0</v>
      </c>
      <c r="M197" s="443">
        <f t="shared" si="63"/>
        <v>0</v>
      </c>
      <c r="N197" s="443">
        <f t="shared" si="63"/>
        <v>0</v>
      </c>
      <c r="O197" s="443">
        <f t="shared" si="63"/>
        <v>0</v>
      </c>
      <c r="P197" s="443">
        <f t="shared" si="63"/>
        <v>146</v>
      </c>
      <c r="Q197" s="443">
        <f t="shared" si="63"/>
        <v>146</v>
      </c>
      <c r="R197" s="100">
        <f t="shared" si="35"/>
        <v>0</v>
      </c>
      <c r="S197" s="443">
        <f t="shared" si="34"/>
        <v>0</v>
      </c>
    </row>
    <row r="198" s="196" customFormat="1" ht="17.25" customHeight="1" spans="1:19">
      <c r="A198" s="183" t="s">
        <v>650</v>
      </c>
      <c r="B198" s="182" t="s">
        <v>406</v>
      </c>
      <c r="C198" s="510">
        <v>152</v>
      </c>
      <c r="D198" s="100">
        <f t="shared" ref="D198:D201" si="64">SUM(E198:O198)</f>
        <v>-36</v>
      </c>
      <c r="E198" s="506">
        <v>-1</v>
      </c>
      <c r="F198" s="507">
        <v>-35</v>
      </c>
      <c r="G198" s="506">
        <v>0</v>
      </c>
      <c r="H198" s="506"/>
      <c r="I198" s="506"/>
      <c r="J198" s="100"/>
      <c r="K198" s="100"/>
      <c r="L198" s="100"/>
      <c r="M198" s="100"/>
      <c r="N198" s="100"/>
      <c r="O198" s="100">
        <v>0</v>
      </c>
      <c r="P198" s="100">
        <f t="shared" ref="P198:P201" si="65">C198+D198</f>
        <v>116</v>
      </c>
      <c r="Q198" s="100">
        <v>116</v>
      </c>
      <c r="R198" s="100">
        <f t="shared" si="35"/>
        <v>0</v>
      </c>
      <c r="S198" s="443">
        <f t="shared" si="34"/>
        <v>0</v>
      </c>
    </row>
    <row r="199" s="196" customFormat="1" ht="17.25" customHeight="1" spans="1:19">
      <c r="A199" s="183" t="s">
        <v>651</v>
      </c>
      <c r="B199" s="182" t="s">
        <v>407</v>
      </c>
      <c r="C199" s="510"/>
      <c r="D199" s="100">
        <f t="shared" si="64"/>
        <v>0</v>
      </c>
      <c r="E199" s="506">
        <v>0</v>
      </c>
      <c r="F199" s="507">
        <v>0</v>
      </c>
      <c r="G199" s="506">
        <v>0</v>
      </c>
      <c r="H199" s="506">
        <v>0</v>
      </c>
      <c r="I199" s="506"/>
      <c r="J199" s="100"/>
      <c r="K199" s="100"/>
      <c r="L199" s="100"/>
      <c r="M199" s="522"/>
      <c r="N199" s="100"/>
      <c r="O199" s="100">
        <v>0</v>
      </c>
      <c r="P199" s="100">
        <f t="shared" si="65"/>
        <v>0</v>
      </c>
      <c r="Q199" s="100">
        <v>0</v>
      </c>
      <c r="R199" s="100">
        <f t="shared" si="35"/>
        <v>0</v>
      </c>
      <c r="S199" s="443">
        <f t="shared" ref="S199:S226" si="66">R199</f>
        <v>0</v>
      </c>
    </row>
    <row r="200" s="196" customFormat="1" ht="17.25" customHeight="1" spans="1:19">
      <c r="A200" s="183" t="s">
        <v>652</v>
      </c>
      <c r="B200" s="182" t="s">
        <v>408</v>
      </c>
      <c r="C200" s="510">
        <v>30</v>
      </c>
      <c r="D200" s="100">
        <f t="shared" si="64"/>
        <v>0</v>
      </c>
      <c r="E200" s="506">
        <v>0</v>
      </c>
      <c r="F200" s="507">
        <v>0</v>
      </c>
      <c r="G200" s="506">
        <v>0</v>
      </c>
      <c r="H200" s="506"/>
      <c r="I200" s="506"/>
      <c r="J200" s="100"/>
      <c r="K200" s="100"/>
      <c r="L200" s="100"/>
      <c r="M200" s="100"/>
      <c r="N200" s="445"/>
      <c r="O200" s="100">
        <v>0</v>
      </c>
      <c r="P200" s="100">
        <f t="shared" si="65"/>
        <v>30</v>
      </c>
      <c r="Q200" s="100">
        <v>30</v>
      </c>
      <c r="R200" s="100">
        <f t="shared" ref="R200:R214" si="67">P200-Q200</f>
        <v>0</v>
      </c>
      <c r="S200" s="443">
        <f t="shared" si="66"/>
        <v>0</v>
      </c>
    </row>
    <row r="201" s="196" customFormat="1" ht="17.25" customHeight="1" spans="1:19">
      <c r="A201" s="183" t="s">
        <v>653</v>
      </c>
      <c r="B201" s="182" t="s">
        <v>409</v>
      </c>
      <c r="C201" s="510"/>
      <c r="D201" s="100">
        <f t="shared" si="64"/>
        <v>0</v>
      </c>
      <c r="E201" s="506">
        <v>0</v>
      </c>
      <c r="F201" s="507">
        <v>0</v>
      </c>
      <c r="G201" s="506">
        <v>0</v>
      </c>
      <c r="H201" s="506"/>
      <c r="I201" s="506"/>
      <c r="J201" s="100"/>
      <c r="K201" s="100"/>
      <c r="L201" s="100"/>
      <c r="M201" s="100"/>
      <c r="N201" s="100"/>
      <c r="O201" s="100">
        <v>0</v>
      </c>
      <c r="P201" s="100">
        <f t="shared" si="65"/>
        <v>0</v>
      </c>
      <c r="Q201" s="100">
        <v>0</v>
      </c>
      <c r="R201" s="100">
        <f t="shared" si="67"/>
        <v>0</v>
      </c>
      <c r="S201" s="443">
        <f t="shared" si="66"/>
        <v>0</v>
      </c>
    </row>
    <row r="202" s="403" customFormat="1" ht="17.25" customHeight="1" spans="1:19">
      <c r="A202" s="504" t="s">
        <v>654</v>
      </c>
      <c r="B202" s="505" t="s">
        <v>410</v>
      </c>
      <c r="C202" s="443">
        <f t="shared" ref="C202:Q202" si="68">SUM(C203:C210)</f>
        <v>3633</v>
      </c>
      <c r="D202" s="443">
        <f t="shared" si="68"/>
        <v>678</v>
      </c>
      <c r="E202" s="443">
        <f t="shared" si="68"/>
        <v>1084</v>
      </c>
      <c r="F202" s="443">
        <f t="shared" si="68"/>
        <v>-217</v>
      </c>
      <c r="G202" s="443">
        <f t="shared" si="68"/>
        <v>0</v>
      </c>
      <c r="H202" s="443">
        <f t="shared" si="68"/>
        <v>0</v>
      </c>
      <c r="I202" s="443">
        <f t="shared" si="68"/>
        <v>0</v>
      </c>
      <c r="J202" s="443">
        <f t="shared" si="68"/>
        <v>0</v>
      </c>
      <c r="K202" s="443">
        <f t="shared" si="68"/>
        <v>0</v>
      </c>
      <c r="L202" s="443">
        <f t="shared" si="68"/>
        <v>0</v>
      </c>
      <c r="M202" s="443">
        <f t="shared" si="68"/>
        <v>0</v>
      </c>
      <c r="N202" s="443">
        <f t="shared" si="68"/>
        <v>0</v>
      </c>
      <c r="O202" s="443">
        <f t="shared" si="68"/>
        <v>-189</v>
      </c>
      <c r="P202" s="443">
        <f t="shared" si="68"/>
        <v>4311</v>
      </c>
      <c r="Q202" s="443">
        <f t="shared" si="68"/>
        <v>2461</v>
      </c>
      <c r="R202" s="100">
        <f t="shared" si="67"/>
        <v>1850</v>
      </c>
      <c r="S202" s="443">
        <f t="shared" si="66"/>
        <v>1850</v>
      </c>
    </row>
    <row r="203" s="196" customFormat="1" ht="17.25" customHeight="1" spans="1:19">
      <c r="A203" s="183" t="s">
        <v>655</v>
      </c>
      <c r="B203" s="182" t="s">
        <v>411</v>
      </c>
      <c r="C203" s="510">
        <v>425</v>
      </c>
      <c r="D203" s="100">
        <f t="shared" ref="D203:D222" si="69">SUM(E203:O203)</f>
        <v>-15</v>
      </c>
      <c r="E203" s="506"/>
      <c r="F203" s="507">
        <v>-15</v>
      </c>
      <c r="G203" s="506"/>
      <c r="H203" s="506"/>
      <c r="I203" s="506"/>
      <c r="J203" s="100"/>
      <c r="K203" s="100"/>
      <c r="L203" s="100"/>
      <c r="M203" s="100"/>
      <c r="N203" s="100"/>
      <c r="O203" s="100"/>
      <c r="P203" s="100">
        <f t="shared" ref="P203:P211" si="70">C203+D203</f>
        <v>410</v>
      </c>
      <c r="Q203" s="100">
        <v>410</v>
      </c>
      <c r="R203" s="100">
        <f t="shared" si="67"/>
        <v>0</v>
      </c>
      <c r="S203" s="443">
        <f t="shared" si="66"/>
        <v>0</v>
      </c>
    </row>
    <row r="204" s="196" customFormat="1" ht="17.25" customHeight="1" spans="1:19">
      <c r="A204" s="183" t="s">
        <v>656</v>
      </c>
      <c r="B204" s="182" t="s">
        <v>412</v>
      </c>
      <c r="C204" s="510">
        <v>909</v>
      </c>
      <c r="D204" s="100">
        <f t="shared" si="69"/>
        <v>-230</v>
      </c>
      <c r="E204" s="506"/>
      <c r="F204" s="507">
        <v>-230</v>
      </c>
      <c r="G204" s="506"/>
      <c r="H204" s="506"/>
      <c r="I204" s="506"/>
      <c r="J204" s="100"/>
      <c r="K204" s="100"/>
      <c r="L204" s="100"/>
      <c r="M204" s="100"/>
      <c r="N204" s="100"/>
      <c r="O204" s="100"/>
      <c r="P204" s="100">
        <f t="shared" si="70"/>
        <v>679</v>
      </c>
      <c r="Q204" s="100">
        <v>679</v>
      </c>
      <c r="R204" s="100">
        <f t="shared" si="67"/>
        <v>0</v>
      </c>
      <c r="S204" s="443">
        <f t="shared" si="66"/>
        <v>0</v>
      </c>
    </row>
    <row r="205" s="196" customFormat="1" ht="17.25" customHeight="1" spans="1:19">
      <c r="A205" s="183" t="s">
        <v>657</v>
      </c>
      <c r="B205" s="182" t="s">
        <v>413</v>
      </c>
      <c r="C205" s="510"/>
      <c r="D205" s="100">
        <f t="shared" si="69"/>
        <v>0</v>
      </c>
      <c r="E205" s="506"/>
      <c r="F205" s="507"/>
      <c r="G205" s="506"/>
      <c r="H205" s="506"/>
      <c r="I205" s="506"/>
      <c r="J205" s="100"/>
      <c r="K205" s="100"/>
      <c r="L205" s="100"/>
      <c r="M205" s="100"/>
      <c r="N205" s="100"/>
      <c r="O205" s="100"/>
      <c r="P205" s="100">
        <f t="shared" si="70"/>
        <v>0</v>
      </c>
      <c r="Q205" s="100"/>
      <c r="R205" s="100">
        <f t="shared" si="67"/>
        <v>0</v>
      </c>
      <c r="S205" s="443">
        <f t="shared" si="66"/>
        <v>0</v>
      </c>
    </row>
    <row r="206" s="196" customFormat="1" ht="17.25" customHeight="1" spans="1:19">
      <c r="A206" s="183" t="s">
        <v>658</v>
      </c>
      <c r="B206" s="182" t="s">
        <v>414</v>
      </c>
      <c r="C206" s="510">
        <v>5</v>
      </c>
      <c r="D206" s="100">
        <f t="shared" si="69"/>
        <v>-5</v>
      </c>
      <c r="E206" s="506"/>
      <c r="F206" s="507">
        <v>-5</v>
      </c>
      <c r="G206" s="506"/>
      <c r="H206" s="506"/>
      <c r="I206" s="506"/>
      <c r="J206" s="100"/>
      <c r="K206" s="100"/>
      <c r="L206" s="100"/>
      <c r="M206" s="100"/>
      <c r="N206" s="100"/>
      <c r="O206" s="100"/>
      <c r="P206" s="100">
        <f t="shared" si="70"/>
        <v>0</v>
      </c>
      <c r="Q206" s="100"/>
      <c r="R206" s="100">
        <f t="shared" si="67"/>
        <v>0</v>
      </c>
      <c r="S206" s="443">
        <f t="shared" si="66"/>
        <v>0</v>
      </c>
    </row>
    <row r="207" s="196" customFormat="1" ht="17.25" customHeight="1" spans="1:19">
      <c r="A207" s="183" t="s">
        <v>659</v>
      </c>
      <c r="B207" s="182" t="s">
        <v>415</v>
      </c>
      <c r="C207" s="510"/>
      <c r="D207" s="100">
        <f t="shared" si="69"/>
        <v>0</v>
      </c>
      <c r="E207" s="506"/>
      <c r="F207" s="507"/>
      <c r="G207" s="506"/>
      <c r="H207" s="506"/>
      <c r="I207" s="506"/>
      <c r="J207" s="100"/>
      <c r="K207" s="100"/>
      <c r="L207" s="100"/>
      <c r="M207" s="100"/>
      <c r="N207" s="100"/>
      <c r="O207" s="100"/>
      <c r="P207" s="100">
        <f t="shared" si="70"/>
        <v>0</v>
      </c>
      <c r="Q207" s="100"/>
      <c r="R207" s="100">
        <f t="shared" si="67"/>
        <v>0</v>
      </c>
      <c r="S207" s="443">
        <f t="shared" si="66"/>
        <v>0</v>
      </c>
    </row>
    <row r="208" s="196" customFormat="1" ht="17.25" customHeight="1" spans="1:19">
      <c r="A208" s="183" t="s">
        <v>660</v>
      </c>
      <c r="B208" s="182" t="s">
        <v>416</v>
      </c>
      <c r="C208" s="510">
        <v>1532</v>
      </c>
      <c r="D208" s="100">
        <f t="shared" si="69"/>
        <v>936</v>
      </c>
      <c r="E208" s="506">
        <v>1084</v>
      </c>
      <c r="F208" s="507"/>
      <c r="G208" s="506"/>
      <c r="H208" s="506"/>
      <c r="I208" s="506"/>
      <c r="J208" s="100"/>
      <c r="K208" s="100"/>
      <c r="L208" s="100"/>
      <c r="M208" s="100"/>
      <c r="N208" s="100"/>
      <c r="O208" s="100">
        <v>-148</v>
      </c>
      <c r="P208" s="100">
        <f t="shared" si="70"/>
        <v>2468</v>
      </c>
      <c r="Q208" s="100">
        <v>1211</v>
      </c>
      <c r="R208" s="100">
        <f t="shared" si="67"/>
        <v>1257</v>
      </c>
      <c r="S208" s="443">
        <f t="shared" si="66"/>
        <v>1257</v>
      </c>
    </row>
    <row r="209" s="196" customFormat="1" ht="17.25" customHeight="1" spans="1:19">
      <c r="A209" s="183" t="s">
        <v>661</v>
      </c>
      <c r="B209" s="182" t="s">
        <v>417</v>
      </c>
      <c r="C209" s="510"/>
      <c r="D209" s="100">
        <f t="shared" si="69"/>
        <v>101</v>
      </c>
      <c r="E209" s="506"/>
      <c r="F209" s="507">
        <f>66+35</f>
        <v>101</v>
      </c>
      <c r="G209" s="506"/>
      <c r="H209" s="506"/>
      <c r="I209" s="506"/>
      <c r="J209" s="100"/>
      <c r="K209" s="100"/>
      <c r="L209" s="100"/>
      <c r="M209" s="100"/>
      <c r="N209" s="100"/>
      <c r="O209" s="100"/>
      <c r="P209" s="100">
        <f t="shared" si="70"/>
        <v>101</v>
      </c>
      <c r="Q209" s="100">
        <v>17</v>
      </c>
      <c r="R209" s="100">
        <f t="shared" si="67"/>
        <v>84</v>
      </c>
      <c r="S209" s="443">
        <f t="shared" si="66"/>
        <v>84</v>
      </c>
    </row>
    <row r="210" s="196" customFormat="1" ht="17.25" customHeight="1" spans="1:19">
      <c r="A210" s="183" t="s">
        <v>662</v>
      </c>
      <c r="B210" s="182" t="s">
        <v>418</v>
      </c>
      <c r="C210" s="510">
        <v>762</v>
      </c>
      <c r="D210" s="100">
        <f t="shared" si="69"/>
        <v>-109</v>
      </c>
      <c r="E210" s="506"/>
      <c r="F210" s="507">
        <v>-68</v>
      </c>
      <c r="G210" s="506"/>
      <c r="H210" s="506"/>
      <c r="I210" s="506"/>
      <c r="J210" s="100"/>
      <c r="K210" s="100"/>
      <c r="L210" s="100"/>
      <c r="M210" s="100"/>
      <c r="N210" s="100"/>
      <c r="O210" s="100">
        <v>-41</v>
      </c>
      <c r="P210" s="100">
        <f t="shared" si="70"/>
        <v>653</v>
      </c>
      <c r="Q210" s="100">
        <v>144</v>
      </c>
      <c r="R210" s="100">
        <f t="shared" si="67"/>
        <v>509</v>
      </c>
      <c r="S210" s="443">
        <f t="shared" si="66"/>
        <v>509</v>
      </c>
    </row>
    <row r="211" s="403" customFormat="1" ht="17.1" customHeight="1" spans="1:19">
      <c r="A211" s="504" t="s">
        <v>663</v>
      </c>
      <c r="B211" s="505" t="s">
        <v>419</v>
      </c>
      <c r="C211" s="443">
        <v>5000</v>
      </c>
      <c r="D211" s="443">
        <f t="shared" si="69"/>
        <v>-5000</v>
      </c>
      <c r="E211" s="524">
        <v>0</v>
      </c>
      <c r="F211" s="525">
        <v>0</v>
      </c>
      <c r="G211" s="524">
        <v>0</v>
      </c>
      <c r="H211" s="524"/>
      <c r="I211" s="524">
        <v>-5000</v>
      </c>
      <c r="J211" s="443"/>
      <c r="K211" s="443">
        <v>0</v>
      </c>
      <c r="L211" s="443">
        <v>0</v>
      </c>
      <c r="M211" s="443">
        <v>0</v>
      </c>
      <c r="N211" s="443">
        <v>0</v>
      </c>
      <c r="O211" s="443">
        <v>0</v>
      </c>
      <c r="P211" s="100">
        <f t="shared" si="70"/>
        <v>0</v>
      </c>
      <c r="Q211" s="100"/>
      <c r="R211" s="100">
        <f t="shared" si="67"/>
        <v>0</v>
      </c>
      <c r="S211" s="443">
        <f t="shared" si="66"/>
        <v>0</v>
      </c>
    </row>
    <row r="212" s="403" customFormat="1" ht="17.25" customHeight="1" spans="1:19">
      <c r="A212" s="504" t="s">
        <v>664</v>
      </c>
      <c r="B212" s="505" t="s">
        <v>420</v>
      </c>
      <c r="C212" s="443">
        <f t="shared" ref="C212:Q212" si="71">C213+C214</f>
        <v>0</v>
      </c>
      <c r="D212" s="100">
        <f t="shared" si="69"/>
        <v>6</v>
      </c>
      <c r="E212" s="443">
        <f t="shared" si="71"/>
        <v>0</v>
      </c>
      <c r="F212" s="443">
        <f t="shared" si="71"/>
        <v>6</v>
      </c>
      <c r="G212" s="443">
        <f t="shared" si="71"/>
        <v>0</v>
      </c>
      <c r="H212" s="443">
        <f t="shared" si="71"/>
        <v>0</v>
      </c>
      <c r="I212" s="443">
        <f t="shared" si="71"/>
        <v>0</v>
      </c>
      <c r="J212" s="443">
        <f t="shared" si="71"/>
        <v>0</v>
      </c>
      <c r="K212" s="443">
        <f t="shared" si="71"/>
        <v>0</v>
      </c>
      <c r="L212" s="443">
        <f t="shared" si="71"/>
        <v>0</v>
      </c>
      <c r="M212" s="443">
        <f t="shared" si="71"/>
        <v>0</v>
      </c>
      <c r="N212" s="443">
        <f t="shared" si="71"/>
        <v>0</v>
      </c>
      <c r="O212" s="443">
        <f t="shared" si="71"/>
        <v>0</v>
      </c>
      <c r="P212" s="443">
        <f t="shared" si="71"/>
        <v>6</v>
      </c>
      <c r="Q212" s="443">
        <f t="shared" si="71"/>
        <v>6</v>
      </c>
      <c r="R212" s="100">
        <f t="shared" si="67"/>
        <v>0</v>
      </c>
      <c r="S212" s="443">
        <f t="shared" si="66"/>
        <v>0</v>
      </c>
    </row>
    <row r="213" s="196" customFormat="1" ht="17.25" customHeight="1" spans="1:19">
      <c r="A213" s="183" t="s">
        <v>665</v>
      </c>
      <c r="B213" s="182" t="s">
        <v>422</v>
      </c>
      <c r="C213" s="100"/>
      <c r="D213" s="100">
        <f t="shared" si="69"/>
        <v>0</v>
      </c>
      <c r="E213" s="506">
        <v>0</v>
      </c>
      <c r="F213" s="507">
        <v>0</v>
      </c>
      <c r="G213" s="506">
        <v>0</v>
      </c>
      <c r="H213" s="506">
        <v>0</v>
      </c>
      <c r="I213" s="506"/>
      <c r="J213" s="100"/>
      <c r="K213" s="100"/>
      <c r="L213" s="100"/>
      <c r="M213" s="100"/>
      <c r="N213" s="100"/>
      <c r="O213" s="100">
        <v>0</v>
      </c>
      <c r="P213" s="100">
        <f t="shared" ref="P213:P222" si="72">C213+D213</f>
        <v>0</v>
      </c>
      <c r="Q213" s="100"/>
      <c r="R213" s="100">
        <f t="shared" si="67"/>
        <v>0</v>
      </c>
      <c r="S213" s="443">
        <f t="shared" si="66"/>
        <v>0</v>
      </c>
    </row>
    <row r="214" s="196" customFormat="1" ht="17.25" customHeight="1" spans="1:19">
      <c r="A214" s="183" t="s">
        <v>666</v>
      </c>
      <c r="B214" s="182" t="s">
        <v>423</v>
      </c>
      <c r="C214" s="100"/>
      <c r="D214" s="100">
        <f t="shared" si="69"/>
        <v>6</v>
      </c>
      <c r="E214" s="506">
        <v>0</v>
      </c>
      <c r="F214" s="507">
        <v>6</v>
      </c>
      <c r="G214" s="506"/>
      <c r="H214" s="506"/>
      <c r="I214" s="506"/>
      <c r="J214" s="100"/>
      <c r="K214" s="100"/>
      <c r="L214" s="100"/>
      <c r="M214" s="100"/>
      <c r="N214" s="100"/>
      <c r="O214" s="100"/>
      <c r="P214" s="100">
        <f t="shared" si="72"/>
        <v>6</v>
      </c>
      <c r="Q214" s="100">
        <v>6</v>
      </c>
      <c r="R214" s="100">
        <f t="shared" si="67"/>
        <v>0</v>
      </c>
      <c r="S214" s="443">
        <f t="shared" si="66"/>
        <v>0</v>
      </c>
    </row>
    <row r="215" s="403" customFormat="1" ht="17.1" customHeight="1" spans="1:19">
      <c r="A215" s="504" t="s">
        <v>667</v>
      </c>
      <c r="B215" s="505" t="s">
        <v>424</v>
      </c>
      <c r="C215" s="443">
        <f>C216+C217+C218</f>
        <v>3244</v>
      </c>
      <c r="D215" s="443">
        <f t="shared" si="69"/>
        <v>3060</v>
      </c>
      <c r="E215" s="524">
        <f t="shared" ref="E215:O215" si="73">SUM(E216:E218)</f>
        <v>0</v>
      </c>
      <c r="F215" s="524">
        <f t="shared" si="73"/>
        <v>3060</v>
      </c>
      <c r="G215" s="524">
        <f t="shared" si="73"/>
        <v>0</v>
      </c>
      <c r="H215" s="524">
        <f t="shared" si="73"/>
        <v>0</v>
      </c>
      <c r="I215" s="524">
        <f t="shared" si="73"/>
        <v>0</v>
      </c>
      <c r="J215" s="524">
        <f t="shared" si="73"/>
        <v>0</v>
      </c>
      <c r="K215" s="524">
        <f t="shared" si="73"/>
        <v>0</v>
      </c>
      <c r="L215" s="524">
        <f t="shared" si="73"/>
        <v>0</v>
      </c>
      <c r="M215" s="524">
        <f t="shared" si="73"/>
        <v>0</v>
      </c>
      <c r="N215" s="524">
        <f t="shared" si="73"/>
        <v>0</v>
      </c>
      <c r="O215" s="524">
        <f t="shared" si="73"/>
        <v>0</v>
      </c>
      <c r="P215" s="443">
        <f t="shared" si="72"/>
        <v>6304</v>
      </c>
      <c r="Q215" s="443">
        <f>SUM(Q216:Q218)</f>
        <v>109175</v>
      </c>
      <c r="R215" s="100"/>
      <c r="S215" s="443">
        <f t="shared" si="66"/>
        <v>0</v>
      </c>
    </row>
    <row r="216" s="196" customFormat="1" ht="17.1" customHeight="1" spans="1:19">
      <c r="A216" s="183" t="s">
        <v>668</v>
      </c>
      <c r="B216" s="510" t="s">
        <v>425</v>
      </c>
      <c r="C216" s="100">
        <v>3244</v>
      </c>
      <c r="D216" s="100">
        <f t="shared" si="69"/>
        <v>909</v>
      </c>
      <c r="E216" s="506"/>
      <c r="F216" s="507">
        <v>909</v>
      </c>
      <c r="G216" s="506"/>
      <c r="H216" s="506"/>
      <c r="I216" s="506"/>
      <c r="J216" s="100"/>
      <c r="K216" s="100"/>
      <c r="L216" s="100"/>
      <c r="M216" s="100"/>
      <c r="N216" s="100"/>
      <c r="O216" s="100"/>
      <c r="P216" s="100">
        <f t="shared" si="72"/>
        <v>4153</v>
      </c>
      <c r="Q216" s="100">
        <v>4153</v>
      </c>
      <c r="R216" s="100"/>
      <c r="S216" s="443">
        <f t="shared" si="66"/>
        <v>0</v>
      </c>
    </row>
    <row r="217" s="196" customFormat="1" ht="17.1" customHeight="1" spans="1:19">
      <c r="A217" s="183" t="s">
        <v>669</v>
      </c>
      <c r="B217" s="510" t="s">
        <v>426</v>
      </c>
      <c r="C217" s="100"/>
      <c r="D217" s="100">
        <f t="shared" si="69"/>
        <v>0</v>
      </c>
      <c r="E217" s="506"/>
      <c r="F217" s="507"/>
      <c r="G217" s="506"/>
      <c r="H217" s="506"/>
      <c r="I217" s="506"/>
      <c r="J217" s="100"/>
      <c r="K217" s="100"/>
      <c r="L217" s="100"/>
      <c r="M217" s="100"/>
      <c r="N217" s="100"/>
      <c r="O217" s="100"/>
      <c r="P217" s="100">
        <f t="shared" si="72"/>
        <v>0</v>
      </c>
      <c r="Q217" s="100">
        <v>102871</v>
      </c>
      <c r="R217" s="100"/>
      <c r="S217" s="443">
        <f t="shared" si="66"/>
        <v>0</v>
      </c>
    </row>
    <row r="218" s="196" customFormat="1" ht="17.1" customHeight="1" spans="1:19">
      <c r="A218" s="183" t="s">
        <v>670</v>
      </c>
      <c r="B218" s="510" t="s">
        <v>427</v>
      </c>
      <c r="C218" s="100"/>
      <c r="D218" s="100">
        <f t="shared" si="69"/>
        <v>2151</v>
      </c>
      <c r="E218" s="506"/>
      <c r="F218" s="507">
        <v>2151</v>
      </c>
      <c r="G218" s="506"/>
      <c r="H218" s="506"/>
      <c r="I218" s="506"/>
      <c r="J218" s="100"/>
      <c r="K218" s="100"/>
      <c r="L218" s="100"/>
      <c r="M218" s="100"/>
      <c r="N218" s="100"/>
      <c r="O218" s="100"/>
      <c r="P218" s="100">
        <f t="shared" si="72"/>
        <v>2151</v>
      </c>
      <c r="Q218" s="100">
        <v>2151</v>
      </c>
      <c r="R218" s="100"/>
      <c r="S218" s="443">
        <f t="shared" si="66"/>
        <v>0</v>
      </c>
    </row>
    <row r="219" s="403" customFormat="1" ht="17.1" customHeight="1" spans="1:19">
      <c r="A219" s="504" t="s">
        <v>671</v>
      </c>
      <c r="B219" s="505" t="s">
        <v>428</v>
      </c>
      <c r="C219" s="443">
        <f>C220+C221+C222</f>
        <v>1400</v>
      </c>
      <c r="D219" s="443">
        <f t="shared" si="69"/>
        <v>13101</v>
      </c>
      <c r="E219" s="524">
        <f t="shared" ref="E219:O219" si="74">SUM(E220:E222)</f>
        <v>0</v>
      </c>
      <c r="F219" s="524">
        <f t="shared" si="74"/>
        <v>0</v>
      </c>
      <c r="G219" s="524">
        <f t="shared" si="74"/>
        <v>0</v>
      </c>
      <c r="H219" s="524">
        <f t="shared" si="74"/>
        <v>0</v>
      </c>
      <c r="I219" s="524">
        <f t="shared" si="74"/>
        <v>0</v>
      </c>
      <c r="J219" s="524">
        <f t="shared" si="74"/>
        <v>0</v>
      </c>
      <c r="K219" s="524">
        <f t="shared" si="74"/>
        <v>0</v>
      </c>
      <c r="L219" s="524">
        <f t="shared" si="74"/>
        <v>13101</v>
      </c>
      <c r="M219" s="524">
        <f t="shared" si="74"/>
        <v>0</v>
      </c>
      <c r="N219" s="524">
        <f t="shared" si="74"/>
        <v>0</v>
      </c>
      <c r="O219" s="524">
        <f t="shared" si="74"/>
        <v>0</v>
      </c>
      <c r="P219" s="443">
        <f t="shared" si="72"/>
        <v>14501</v>
      </c>
      <c r="Q219" s="443">
        <f>SUM(Q220:Q222)</f>
        <v>14501</v>
      </c>
      <c r="R219" s="100">
        <f t="shared" ref="R219:R226" si="75">P219-Q219</f>
        <v>0</v>
      </c>
      <c r="S219" s="443">
        <f t="shared" si="66"/>
        <v>0</v>
      </c>
    </row>
    <row r="220" s="196" customFormat="1" ht="17.1" customHeight="1" spans="1:19">
      <c r="A220" s="183" t="s">
        <v>672</v>
      </c>
      <c r="B220" s="182" t="s">
        <v>673</v>
      </c>
      <c r="C220" s="100"/>
      <c r="D220" s="100">
        <f t="shared" si="69"/>
        <v>0</v>
      </c>
      <c r="E220" s="506"/>
      <c r="F220" s="507"/>
      <c r="G220" s="506"/>
      <c r="H220" s="506"/>
      <c r="I220" s="506"/>
      <c r="J220" s="100"/>
      <c r="K220" s="100"/>
      <c r="L220" s="100"/>
      <c r="M220" s="100"/>
      <c r="N220" s="100"/>
      <c r="O220" s="100"/>
      <c r="P220" s="100">
        <f t="shared" si="72"/>
        <v>0</v>
      </c>
      <c r="Q220" s="100"/>
      <c r="R220" s="100">
        <f t="shared" si="75"/>
        <v>0</v>
      </c>
      <c r="S220" s="443">
        <f t="shared" si="66"/>
        <v>0</v>
      </c>
    </row>
    <row r="221" s="196" customFormat="1" ht="17.1" customHeight="1" spans="1:19">
      <c r="A221" s="183" t="s">
        <v>674</v>
      </c>
      <c r="B221" s="182" t="s">
        <v>675</v>
      </c>
      <c r="C221" s="100"/>
      <c r="D221" s="100">
        <f t="shared" si="69"/>
        <v>0</v>
      </c>
      <c r="E221" s="506"/>
      <c r="F221" s="507"/>
      <c r="G221" s="506"/>
      <c r="H221" s="506"/>
      <c r="I221" s="506"/>
      <c r="J221" s="100"/>
      <c r="K221" s="100"/>
      <c r="L221" s="100"/>
      <c r="M221" s="100"/>
      <c r="N221" s="100"/>
      <c r="O221" s="100"/>
      <c r="P221" s="100">
        <f t="shared" si="72"/>
        <v>0</v>
      </c>
      <c r="Q221" s="100"/>
      <c r="R221" s="100">
        <f t="shared" si="75"/>
        <v>0</v>
      </c>
      <c r="S221" s="443">
        <f t="shared" si="66"/>
        <v>0</v>
      </c>
    </row>
    <row r="222" s="196" customFormat="1" ht="17.1" customHeight="1" spans="1:19">
      <c r="A222" s="183" t="s">
        <v>676</v>
      </c>
      <c r="B222" s="182" t="s">
        <v>195</v>
      </c>
      <c r="C222" s="100">
        <v>1400</v>
      </c>
      <c r="D222" s="100">
        <f t="shared" si="69"/>
        <v>13101</v>
      </c>
      <c r="E222" s="506"/>
      <c r="F222" s="507"/>
      <c r="G222" s="506"/>
      <c r="H222" s="506"/>
      <c r="I222" s="506"/>
      <c r="J222" s="100"/>
      <c r="K222" s="100"/>
      <c r="L222" s="100">
        <v>13101</v>
      </c>
      <c r="M222" s="100"/>
      <c r="N222" s="100"/>
      <c r="O222" s="100"/>
      <c r="P222" s="100">
        <f t="shared" si="72"/>
        <v>14501</v>
      </c>
      <c r="Q222" s="100">
        <v>14501</v>
      </c>
      <c r="R222" s="100">
        <f t="shared" si="75"/>
        <v>0</v>
      </c>
      <c r="S222" s="443">
        <f t="shared" si="66"/>
        <v>0</v>
      </c>
    </row>
    <row r="223" s="403" customFormat="1" ht="17.25" customHeight="1" spans="1:19">
      <c r="A223" s="504" t="s">
        <v>677</v>
      </c>
      <c r="B223" s="611" t="s">
        <v>429</v>
      </c>
      <c r="C223" s="443">
        <f t="shared" ref="C223:Q223" si="76">SUM(C224)</f>
        <v>3157</v>
      </c>
      <c r="D223" s="443">
        <f t="shared" si="76"/>
        <v>3397</v>
      </c>
      <c r="E223" s="443">
        <f t="shared" si="76"/>
        <v>0</v>
      </c>
      <c r="F223" s="443">
        <f t="shared" si="76"/>
        <v>6554</v>
      </c>
      <c r="G223" s="443">
        <f t="shared" si="76"/>
        <v>0</v>
      </c>
      <c r="H223" s="443">
        <f t="shared" si="76"/>
        <v>0</v>
      </c>
      <c r="I223" s="443">
        <f t="shared" si="76"/>
        <v>0</v>
      </c>
      <c r="J223" s="443">
        <f t="shared" si="76"/>
        <v>0</v>
      </c>
      <c r="K223" s="443">
        <f t="shared" si="76"/>
        <v>0</v>
      </c>
      <c r="L223" s="443">
        <f t="shared" si="76"/>
        <v>0</v>
      </c>
      <c r="M223" s="443">
        <f t="shared" si="76"/>
        <v>0</v>
      </c>
      <c r="N223" s="443">
        <f t="shared" si="76"/>
        <v>-3157</v>
      </c>
      <c r="O223" s="443">
        <f t="shared" si="76"/>
        <v>0</v>
      </c>
      <c r="P223" s="443">
        <f t="shared" si="76"/>
        <v>6554</v>
      </c>
      <c r="Q223" s="443">
        <f t="shared" si="76"/>
        <v>6554</v>
      </c>
      <c r="R223" s="100">
        <f t="shared" si="75"/>
        <v>0</v>
      </c>
      <c r="S223" s="443">
        <f t="shared" si="66"/>
        <v>0</v>
      </c>
    </row>
    <row r="224" s="196" customFormat="1" ht="17.25" customHeight="1" spans="1:19">
      <c r="A224" s="183" t="s">
        <v>678</v>
      </c>
      <c r="B224" s="305" t="s">
        <v>679</v>
      </c>
      <c r="C224" s="100">
        <v>3157</v>
      </c>
      <c r="D224" s="100">
        <f t="shared" ref="D224:D226" si="77">SUM(E224:O224)</f>
        <v>3397</v>
      </c>
      <c r="E224" s="506">
        <v>0</v>
      </c>
      <c r="F224" s="507">
        <v>6554</v>
      </c>
      <c r="G224" s="506"/>
      <c r="H224" s="506"/>
      <c r="I224" s="506"/>
      <c r="J224" s="100"/>
      <c r="K224" s="100"/>
      <c r="L224" s="100"/>
      <c r="M224" s="100"/>
      <c r="N224" s="100">
        <v>-3157</v>
      </c>
      <c r="O224" s="100"/>
      <c r="P224" s="100">
        <f>C224+D224</f>
        <v>6554</v>
      </c>
      <c r="Q224" s="100">
        <v>6554</v>
      </c>
      <c r="R224" s="100">
        <f t="shared" si="75"/>
        <v>0</v>
      </c>
      <c r="S224" s="443">
        <f t="shared" si="66"/>
        <v>0</v>
      </c>
    </row>
    <row r="225" s="403" customFormat="1" ht="17.25" customHeight="1" spans="1:19">
      <c r="A225" s="504" t="s">
        <v>680</v>
      </c>
      <c r="B225" s="611" t="s">
        <v>431</v>
      </c>
      <c r="C225" s="443">
        <f t="shared" ref="C225:Q225" si="78">C226</f>
        <v>0</v>
      </c>
      <c r="D225" s="443">
        <f t="shared" si="77"/>
        <v>17</v>
      </c>
      <c r="E225" s="443">
        <f t="shared" si="78"/>
        <v>0</v>
      </c>
      <c r="F225" s="443">
        <f t="shared" si="78"/>
        <v>17</v>
      </c>
      <c r="G225" s="443">
        <f t="shared" si="78"/>
        <v>0</v>
      </c>
      <c r="H225" s="443">
        <f t="shared" si="78"/>
        <v>0</v>
      </c>
      <c r="I225" s="443">
        <f t="shared" si="78"/>
        <v>0</v>
      </c>
      <c r="J225" s="443">
        <f t="shared" si="78"/>
        <v>0</v>
      </c>
      <c r="K225" s="443">
        <f t="shared" si="78"/>
        <v>0</v>
      </c>
      <c r="L225" s="443">
        <f t="shared" si="78"/>
        <v>0</v>
      </c>
      <c r="M225" s="443">
        <f t="shared" si="78"/>
        <v>0</v>
      </c>
      <c r="N225" s="443">
        <f t="shared" si="78"/>
        <v>0</v>
      </c>
      <c r="O225" s="443">
        <f t="shared" si="78"/>
        <v>0</v>
      </c>
      <c r="P225" s="443">
        <f t="shared" si="78"/>
        <v>17</v>
      </c>
      <c r="Q225" s="443">
        <f t="shared" si="78"/>
        <v>17</v>
      </c>
      <c r="R225" s="443">
        <f t="shared" si="75"/>
        <v>0</v>
      </c>
      <c r="S225" s="443">
        <f t="shared" si="66"/>
        <v>0</v>
      </c>
    </row>
    <row r="226" s="196" customFormat="1" ht="17.25" customHeight="1" spans="1:19">
      <c r="A226" s="183" t="s">
        <v>681</v>
      </c>
      <c r="B226" s="305" t="s">
        <v>682</v>
      </c>
      <c r="C226" s="100"/>
      <c r="D226" s="100">
        <f t="shared" si="77"/>
        <v>17</v>
      </c>
      <c r="E226" s="506">
        <v>0</v>
      </c>
      <c r="F226" s="507">
        <v>17</v>
      </c>
      <c r="G226" s="506">
        <v>0</v>
      </c>
      <c r="H226" s="506">
        <v>0</v>
      </c>
      <c r="I226" s="506"/>
      <c r="J226" s="100"/>
      <c r="K226" s="100"/>
      <c r="L226" s="100"/>
      <c r="M226" s="100"/>
      <c r="N226" s="100"/>
      <c r="O226" s="100"/>
      <c r="P226" s="100">
        <f>C226+D226</f>
        <v>17</v>
      </c>
      <c r="Q226" s="100">
        <v>17</v>
      </c>
      <c r="R226" s="100">
        <f t="shared" si="75"/>
        <v>0</v>
      </c>
      <c r="S226" s="443">
        <f t="shared" si="66"/>
        <v>0</v>
      </c>
    </row>
    <row r="227" ht="17.25" customHeight="1"/>
    <row r="228" ht="17.25" customHeight="1"/>
    <row r="229" ht="17.25" customHeight="1"/>
    <row r="230" ht="17.25" customHeight="1"/>
    <row r="231" ht="17.25" customHeight="1"/>
    <row r="232" ht="17.25" customHeight="1"/>
    <row r="233" ht="17.1" customHeight="1"/>
    <row r="234" ht="17.1" customHeight="1"/>
    <row r="235" ht="17.1"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6.9" customHeight="1"/>
  </sheetData>
  <autoFilter xmlns:etc="http://www.wps.cn/officeDocument/2017/etCustomData" ref="A5:HP226" etc:filterBottomFollowUsedRange="0">
    <extLst/>
  </autoFilter>
  <mergeCells count="21">
    <mergeCell ref="A1:S1"/>
    <mergeCell ref="D3:O3"/>
    <mergeCell ref="A3:A5"/>
    <mergeCell ref="B3:B5"/>
    <mergeCell ref="C3:C5"/>
    <mergeCell ref="D4:D5"/>
    <mergeCell ref="E4:E5"/>
    <mergeCell ref="F4:F5"/>
    <mergeCell ref="G4:G5"/>
    <mergeCell ref="H4:H5"/>
    <mergeCell ref="I4:I5"/>
    <mergeCell ref="J4:J5"/>
    <mergeCell ref="K4:K5"/>
    <mergeCell ref="L4:L5"/>
    <mergeCell ref="M4:M5"/>
    <mergeCell ref="N4:N5"/>
    <mergeCell ref="O4:O5"/>
    <mergeCell ref="P3:P5"/>
    <mergeCell ref="Q3:Q5"/>
    <mergeCell ref="R3:R5"/>
    <mergeCell ref="S3:S5"/>
  </mergeCells>
  <pageMargins left="0.708661417322835" right="0.708661417322835" top="0.551181102362205" bottom="0.748031496062992" header="0.31496062992126" footer="0.31496062992126"/>
  <pageSetup paperSize="9" scale="41" fitToHeight="10" orientation="portrait" blackAndWhite="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0"/>
  <sheetViews>
    <sheetView showZeros="0" view="pageBreakPreview" zoomScaleNormal="100" workbookViewId="0">
      <pane ySplit="4" topLeftCell="A165" activePane="bottomLeft" state="frozen"/>
      <selection/>
      <selection pane="bottomLeft" activeCell="A1" sqref="$A1:$XFD65536"/>
    </sheetView>
  </sheetViews>
  <sheetFormatPr defaultColWidth="9" defaultRowHeight="12.5"/>
  <cols>
    <col min="1" max="1" width="33.5" style="413" customWidth="1"/>
    <col min="2" max="2" width="8.375" style="414" customWidth="1"/>
    <col min="3" max="3" width="9.5" style="414" customWidth="1"/>
    <col min="4" max="4" width="10.125" style="414" customWidth="1"/>
    <col min="5" max="5" width="10.5" style="414" customWidth="1"/>
    <col min="6" max="6" width="8.125" style="196" customWidth="1"/>
    <col min="7" max="7" width="49.875" style="196" customWidth="1"/>
    <col min="8" max="8" width="8.5" style="414" customWidth="1"/>
    <col min="9" max="9" width="8.75" style="414" customWidth="1"/>
    <col min="10" max="10" width="9.5" style="414" customWidth="1"/>
    <col min="11" max="11" width="9.125" style="414" customWidth="1"/>
    <col min="12" max="12" width="11.4583333333333" style="196" customWidth="1"/>
    <col min="13" max="16" width="10.625" style="196" hidden="1" customWidth="1"/>
    <col min="17" max="22" width="9.75" style="196" hidden="1" customWidth="1"/>
    <col min="23" max="16384" width="9" style="196"/>
  </cols>
  <sheetData>
    <row r="1" s="196" customFormat="1" ht="21" spans="1:12">
      <c r="A1" s="612" t="s">
        <v>683</v>
      </c>
      <c r="B1" s="416"/>
      <c r="C1" s="416"/>
      <c r="D1" s="416"/>
      <c r="E1" s="416"/>
      <c r="F1" s="416"/>
      <c r="G1" s="416"/>
      <c r="H1" s="416"/>
      <c r="I1" s="416"/>
      <c r="J1" s="416"/>
      <c r="K1" s="416"/>
      <c r="L1" s="416"/>
    </row>
    <row r="2" s="196" customFormat="1" ht="15" spans="1:11">
      <c r="A2" s="417"/>
      <c r="B2" s="418"/>
      <c r="C2" s="419"/>
      <c r="D2" s="419"/>
      <c r="E2" s="419"/>
      <c r="F2" s="420"/>
      <c r="G2" s="420"/>
      <c r="H2" s="419"/>
      <c r="I2" s="452" t="s">
        <v>51</v>
      </c>
      <c r="J2" s="452"/>
      <c r="K2" s="452"/>
    </row>
    <row r="3" s="197" customFormat="1" ht="18" customHeight="1" spans="1:22">
      <c r="A3" s="421" t="s">
        <v>83</v>
      </c>
      <c r="B3" s="422"/>
      <c r="C3" s="422"/>
      <c r="D3" s="423"/>
      <c r="E3" s="423"/>
      <c r="F3" s="424"/>
      <c r="G3" s="425" t="s">
        <v>85</v>
      </c>
      <c r="H3" s="422"/>
      <c r="I3" s="422"/>
      <c r="J3" s="422"/>
      <c r="K3" s="422"/>
      <c r="L3" s="453"/>
      <c r="M3" s="454" t="s">
        <v>684</v>
      </c>
      <c r="N3" s="454" t="s">
        <v>684</v>
      </c>
      <c r="O3" s="454" t="s">
        <v>684</v>
      </c>
      <c r="P3" s="454" t="s">
        <v>684</v>
      </c>
      <c r="Q3" s="454" t="s">
        <v>684</v>
      </c>
      <c r="R3" s="454" t="s">
        <v>684</v>
      </c>
      <c r="S3" s="454" t="s">
        <v>684</v>
      </c>
      <c r="T3" s="454" t="s">
        <v>684</v>
      </c>
      <c r="U3" s="454" t="s">
        <v>684</v>
      </c>
      <c r="V3" s="454" t="s">
        <v>684</v>
      </c>
    </row>
    <row r="4" s="197" customFormat="1" ht="36.75" customHeight="1" spans="1:22">
      <c r="A4" s="426" t="s">
        <v>52</v>
      </c>
      <c r="B4" s="427" t="s">
        <v>53</v>
      </c>
      <c r="C4" s="427" t="s">
        <v>86</v>
      </c>
      <c r="D4" s="613" t="s">
        <v>685</v>
      </c>
      <c r="E4" s="613" t="s">
        <v>89</v>
      </c>
      <c r="F4" s="429" t="s">
        <v>57</v>
      </c>
      <c r="G4" s="430" t="s">
        <v>52</v>
      </c>
      <c r="H4" s="427" t="s">
        <v>53</v>
      </c>
      <c r="I4" s="427" t="s">
        <v>86</v>
      </c>
      <c r="J4" s="613" t="s">
        <v>685</v>
      </c>
      <c r="K4" s="613" t="s">
        <v>89</v>
      </c>
      <c r="L4" s="429" t="s">
        <v>57</v>
      </c>
      <c r="M4" s="455" t="s">
        <v>686</v>
      </c>
      <c r="N4" s="455" t="s">
        <v>687</v>
      </c>
      <c r="O4" s="455" t="s">
        <v>688</v>
      </c>
      <c r="P4" s="455" t="s">
        <v>689</v>
      </c>
      <c r="Q4" s="459" t="s">
        <v>690</v>
      </c>
      <c r="R4" s="459" t="s">
        <v>691</v>
      </c>
      <c r="S4" s="460" t="s">
        <v>450</v>
      </c>
      <c r="T4" s="460" t="s">
        <v>692</v>
      </c>
      <c r="U4" s="461" t="s">
        <v>693</v>
      </c>
      <c r="V4" s="461" t="s">
        <v>694</v>
      </c>
    </row>
    <row r="5" s="197" customFormat="1" ht="18" customHeight="1" spans="1:22">
      <c r="A5" s="431" t="s">
        <v>695</v>
      </c>
      <c r="B5" s="432">
        <f>B6+B9+B10+B11+B12+B13+B14+B15+B16+B22+B23+B26+B27+B28+B29+B32+B33+B34+B37+B38+B39+B40+B41+B44+B45+B53+B54</f>
        <v>27007</v>
      </c>
      <c r="C5" s="432">
        <f>C6+C9+C10+C11+C12+C13+C14+C15+C16+C22+C23+C26+C27+C28+C29+C32+C33+C34+C37+C38+C39+C40+C41+C44+C45+C53+C54</f>
        <v>20220</v>
      </c>
      <c r="D5" s="432">
        <f>D6+D9+D10+D11+D12+D13+D14+D15+D16+D22+D23+D26+D27+D28+D29+D32+D33+D34+D37+D38+D39+D40+D41+D44+D45+D53+D54</f>
        <v>5334</v>
      </c>
      <c r="E5" s="432">
        <f>E6+E9+E10+E11+E12+E13+E14+E15+E16+E22+E23+E26+E27+E28+E29+E32+E33+E34+E37+E38+E39+E40+E41+E44+E45+E53+E54</f>
        <v>5448</v>
      </c>
      <c r="F5" s="433">
        <f t="shared" ref="F5:F30" si="0">IF(B5=0,0,SUM(E5/B5-1)*100)</f>
        <v>-79.83</v>
      </c>
      <c r="G5" s="410" t="s">
        <v>696</v>
      </c>
      <c r="H5" s="434">
        <f t="shared" ref="H5:K5" si="1">H6</f>
        <v>0</v>
      </c>
      <c r="I5" s="434">
        <f t="shared" si="1"/>
        <v>0</v>
      </c>
      <c r="J5" s="434">
        <f t="shared" si="1"/>
        <v>0</v>
      </c>
      <c r="K5" s="434">
        <f t="shared" si="1"/>
        <v>0</v>
      </c>
      <c r="L5" s="456">
        <f t="shared" ref="L5:L16" si="2">IF(H5=0,0,SUM(K5/H5-1)*100)</f>
        <v>0</v>
      </c>
      <c r="M5" s="434">
        <f t="shared" ref="M5:T5" si="3">M6</f>
        <v>0</v>
      </c>
      <c r="N5" s="434">
        <f t="shared" si="3"/>
        <v>0</v>
      </c>
      <c r="O5" s="434">
        <f t="shared" si="3"/>
        <v>0</v>
      </c>
      <c r="P5" s="434">
        <f t="shared" si="3"/>
        <v>0</v>
      </c>
      <c r="Q5" s="434">
        <f t="shared" si="3"/>
        <v>0</v>
      </c>
      <c r="R5" s="434">
        <f t="shared" si="3"/>
        <v>0</v>
      </c>
      <c r="S5" s="462">
        <f t="shared" si="3"/>
        <v>0</v>
      </c>
      <c r="T5" s="462">
        <f t="shared" si="3"/>
        <v>0</v>
      </c>
      <c r="U5" s="463">
        <f t="shared" ref="U5:U68" si="4">SUM(M5:T5)</f>
        <v>0</v>
      </c>
      <c r="V5" s="464">
        <f t="shared" ref="V5:V68" si="5">U5-K5</f>
        <v>0</v>
      </c>
    </row>
    <row r="6" s="197" customFormat="1" ht="18" customHeight="1" spans="1:22">
      <c r="A6" s="431" t="s">
        <v>697</v>
      </c>
      <c r="B6" s="432">
        <f>SUM(B7:B8)</f>
        <v>0</v>
      </c>
      <c r="C6" s="432">
        <f>SUM(C7:C8)</f>
        <v>0</v>
      </c>
      <c r="D6" s="432">
        <f>SUM(D7:D8)</f>
        <v>0</v>
      </c>
      <c r="E6" s="432">
        <f>SUM(E7:E8)</f>
        <v>0</v>
      </c>
      <c r="F6" s="433">
        <f t="shared" si="0"/>
        <v>0</v>
      </c>
      <c r="G6" s="411" t="s">
        <v>698</v>
      </c>
      <c r="H6" s="435">
        <f t="shared" ref="H6:K6" si="6">SUM(H7:H12)</f>
        <v>0</v>
      </c>
      <c r="I6" s="435">
        <f t="shared" si="6"/>
        <v>0</v>
      </c>
      <c r="J6" s="435">
        <f t="shared" si="6"/>
        <v>0</v>
      </c>
      <c r="K6" s="435">
        <f t="shared" si="6"/>
        <v>0</v>
      </c>
      <c r="L6" s="456">
        <f t="shared" si="2"/>
        <v>0</v>
      </c>
      <c r="M6" s="435">
        <f>SUM(M7:M12)</f>
        <v>0</v>
      </c>
      <c r="N6" s="437">
        <f t="shared" ref="N6:N12" si="7">L6-J6</f>
        <v>0</v>
      </c>
      <c r="O6" s="437">
        <f t="shared" ref="O6:O12" si="8">L6-J6</f>
        <v>0</v>
      </c>
      <c r="P6" s="437">
        <f t="shared" ref="P6:P12" si="9">M6-K6</f>
        <v>0</v>
      </c>
      <c r="Q6" s="464"/>
      <c r="R6" s="464"/>
      <c r="S6" s="465"/>
      <c r="T6" s="465"/>
      <c r="U6" s="463">
        <f t="shared" si="4"/>
        <v>0</v>
      </c>
      <c r="V6" s="464">
        <f t="shared" si="5"/>
        <v>0</v>
      </c>
    </row>
    <row r="7" s="197" customFormat="1" ht="18" customHeight="1" spans="1:22">
      <c r="A7" s="436" t="s">
        <v>699</v>
      </c>
      <c r="B7" s="432"/>
      <c r="C7" s="437"/>
      <c r="D7" s="437"/>
      <c r="E7" s="437"/>
      <c r="F7" s="433">
        <f t="shared" si="0"/>
        <v>0</v>
      </c>
      <c r="G7" s="122" t="s">
        <v>700</v>
      </c>
      <c r="H7" s="438"/>
      <c r="I7" s="437">
        <v>0</v>
      </c>
      <c r="J7" s="437"/>
      <c r="K7" s="437"/>
      <c r="L7" s="456">
        <f t="shared" si="2"/>
        <v>0</v>
      </c>
      <c r="M7" s="437"/>
      <c r="N7" s="437">
        <f t="shared" si="7"/>
        <v>0</v>
      </c>
      <c r="O7" s="437">
        <f t="shared" si="8"/>
        <v>0</v>
      </c>
      <c r="P7" s="437">
        <f t="shared" si="9"/>
        <v>0</v>
      </c>
      <c r="Q7" s="464"/>
      <c r="R7" s="464"/>
      <c r="S7" s="465"/>
      <c r="T7" s="465"/>
      <c r="U7" s="463">
        <f t="shared" si="4"/>
        <v>0</v>
      </c>
      <c r="V7" s="464">
        <f t="shared" si="5"/>
        <v>0</v>
      </c>
    </row>
    <row r="8" s="197" customFormat="1" ht="18" customHeight="1" spans="1:22">
      <c r="A8" s="436" t="s">
        <v>701</v>
      </c>
      <c r="B8" s="432"/>
      <c r="C8" s="437"/>
      <c r="D8" s="437"/>
      <c r="E8" s="437"/>
      <c r="F8" s="433">
        <f t="shared" si="0"/>
        <v>0</v>
      </c>
      <c r="G8" s="122" t="s">
        <v>702</v>
      </c>
      <c r="H8" s="438"/>
      <c r="I8" s="437">
        <v>0</v>
      </c>
      <c r="J8" s="437"/>
      <c r="K8" s="437"/>
      <c r="L8" s="456">
        <f t="shared" si="2"/>
        <v>0</v>
      </c>
      <c r="M8" s="437"/>
      <c r="N8" s="437">
        <f t="shared" si="7"/>
        <v>0</v>
      </c>
      <c r="O8" s="437">
        <f t="shared" si="8"/>
        <v>0</v>
      </c>
      <c r="P8" s="437">
        <f t="shared" si="9"/>
        <v>0</v>
      </c>
      <c r="Q8" s="464"/>
      <c r="R8" s="464"/>
      <c r="S8" s="465"/>
      <c r="T8" s="465"/>
      <c r="U8" s="463">
        <f t="shared" si="4"/>
        <v>0</v>
      </c>
      <c r="V8" s="464">
        <f t="shared" si="5"/>
        <v>0</v>
      </c>
    </row>
    <row r="9" s="197" customFormat="1" ht="18" customHeight="1" spans="1:22">
      <c r="A9" s="431" t="s">
        <v>703</v>
      </c>
      <c r="B9" s="439"/>
      <c r="C9" s="439"/>
      <c r="D9" s="439"/>
      <c r="E9" s="439"/>
      <c r="F9" s="433">
        <f t="shared" si="0"/>
        <v>0</v>
      </c>
      <c r="G9" s="122" t="s">
        <v>704</v>
      </c>
      <c r="H9" s="438"/>
      <c r="I9" s="437">
        <v>0</v>
      </c>
      <c r="J9" s="437"/>
      <c r="K9" s="437"/>
      <c r="L9" s="457">
        <f t="shared" si="2"/>
        <v>0</v>
      </c>
      <c r="M9" s="437"/>
      <c r="N9" s="437">
        <f t="shared" si="7"/>
        <v>0</v>
      </c>
      <c r="O9" s="437">
        <f t="shared" si="8"/>
        <v>0</v>
      </c>
      <c r="P9" s="437">
        <f t="shared" si="9"/>
        <v>0</v>
      </c>
      <c r="Q9" s="464"/>
      <c r="R9" s="464"/>
      <c r="S9" s="465"/>
      <c r="T9" s="465"/>
      <c r="U9" s="463">
        <f t="shared" si="4"/>
        <v>0</v>
      </c>
      <c r="V9" s="464">
        <f t="shared" si="5"/>
        <v>0</v>
      </c>
    </row>
    <row r="10" s="197" customFormat="1" ht="18" customHeight="1" spans="1:22">
      <c r="A10" s="431" t="s">
        <v>705</v>
      </c>
      <c r="B10" s="432"/>
      <c r="C10" s="437"/>
      <c r="D10" s="437"/>
      <c r="E10" s="437"/>
      <c r="F10" s="433">
        <f t="shared" si="0"/>
        <v>0</v>
      </c>
      <c r="G10" s="122" t="s">
        <v>706</v>
      </c>
      <c r="H10" s="438"/>
      <c r="I10" s="437">
        <v>0</v>
      </c>
      <c r="J10" s="437"/>
      <c r="K10" s="437"/>
      <c r="L10" s="457">
        <f t="shared" si="2"/>
        <v>0</v>
      </c>
      <c r="M10" s="437"/>
      <c r="N10" s="437">
        <f t="shared" si="7"/>
        <v>0</v>
      </c>
      <c r="O10" s="437">
        <f t="shared" si="8"/>
        <v>0</v>
      </c>
      <c r="P10" s="437">
        <f t="shared" si="9"/>
        <v>0</v>
      </c>
      <c r="Q10" s="464"/>
      <c r="R10" s="464"/>
      <c r="S10" s="465"/>
      <c r="T10" s="465"/>
      <c r="U10" s="463">
        <f t="shared" si="4"/>
        <v>0</v>
      </c>
      <c r="V10" s="464">
        <f t="shared" si="5"/>
        <v>0</v>
      </c>
    </row>
    <row r="11" s="197" customFormat="1" ht="18" customHeight="1" spans="1:22">
      <c r="A11" s="431" t="s">
        <v>707</v>
      </c>
      <c r="B11" s="432"/>
      <c r="C11" s="437"/>
      <c r="D11" s="437"/>
      <c r="E11" s="437"/>
      <c r="F11" s="433">
        <f t="shared" si="0"/>
        <v>0</v>
      </c>
      <c r="G11" s="440" t="s">
        <v>708</v>
      </c>
      <c r="H11" s="437"/>
      <c r="I11" s="437">
        <v>0</v>
      </c>
      <c r="J11" s="437"/>
      <c r="K11" s="437"/>
      <c r="L11" s="456">
        <f t="shared" si="2"/>
        <v>0</v>
      </c>
      <c r="M11" s="437"/>
      <c r="N11" s="437">
        <f t="shared" si="7"/>
        <v>0</v>
      </c>
      <c r="O11" s="437">
        <f t="shared" si="8"/>
        <v>0</v>
      </c>
      <c r="P11" s="437">
        <f t="shared" si="9"/>
        <v>0</v>
      </c>
      <c r="Q11" s="464"/>
      <c r="R11" s="464"/>
      <c r="S11" s="465"/>
      <c r="T11" s="465"/>
      <c r="U11" s="463">
        <f t="shared" si="4"/>
        <v>0</v>
      </c>
      <c r="V11" s="464">
        <f t="shared" si="5"/>
        <v>0</v>
      </c>
    </row>
    <row r="12" s="197" customFormat="1" ht="18" customHeight="1" spans="1:22">
      <c r="A12" s="431" t="s">
        <v>709</v>
      </c>
      <c r="B12" s="432"/>
      <c r="C12" s="437"/>
      <c r="D12" s="437"/>
      <c r="E12" s="437"/>
      <c r="F12" s="433">
        <f t="shared" si="0"/>
        <v>0</v>
      </c>
      <c r="G12" s="441" t="s">
        <v>710</v>
      </c>
      <c r="H12" s="437"/>
      <c r="I12" s="437">
        <v>0</v>
      </c>
      <c r="J12" s="437"/>
      <c r="K12" s="437"/>
      <c r="L12" s="457">
        <f t="shared" si="2"/>
        <v>0</v>
      </c>
      <c r="M12" s="437"/>
      <c r="N12" s="437">
        <f t="shared" si="7"/>
        <v>0</v>
      </c>
      <c r="O12" s="437">
        <f t="shared" si="8"/>
        <v>0</v>
      </c>
      <c r="P12" s="437">
        <f t="shared" si="9"/>
        <v>0</v>
      </c>
      <c r="Q12" s="464"/>
      <c r="R12" s="464"/>
      <c r="S12" s="465"/>
      <c r="T12" s="465"/>
      <c r="U12" s="463">
        <f t="shared" si="4"/>
        <v>0</v>
      </c>
      <c r="V12" s="464">
        <f t="shared" si="5"/>
        <v>0</v>
      </c>
    </row>
    <row r="13" s="197" customFormat="1" ht="18" customHeight="1" spans="1:22">
      <c r="A13" s="431" t="s">
        <v>711</v>
      </c>
      <c r="B13" s="432"/>
      <c r="C13" s="437"/>
      <c r="D13" s="437"/>
      <c r="E13" s="437"/>
      <c r="F13" s="433">
        <f t="shared" si="0"/>
        <v>0</v>
      </c>
      <c r="G13" s="410" t="s">
        <v>712</v>
      </c>
      <c r="H13" s="435">
        <f t="shared" ref="H13:K13" si="10">H14+H20+H26</f>
        <v>0</v>
      </c>
      <c r="I13" s="435">
        <f t="shared" si="10"/>
        <v>5</v>
      </c>
      <c r="J13" s="435">
        <f t="shared" si="10"/>
        <v>14</v>
      </c>
      <c r="K13" s="435">
        <f t="shared" si="10"/>
        <v>5</v>
      </c>
      <c r="L13" s="457">
        <f t="shared" si="2"/>
        <v>0</v>
      </c>
      <c r="M13" s="435">
        <f t="shared" ref="M13:T13" si="11">M14+M20+M26</f>
        <v>0</v>
      </c>
      <c r="N13" s="435">
        <f t="shared" si="11"/>
        <v>0</v>
      </c>
      <c r="O13" s="435">
        <f t="shared" si="11"/>
        <v>0</v>
      </c>
      <c r="P13" s="435">
        <f t="shared" si="11"/>
        <v>9</v>
      </c>
      <c r="Q13" s="435">
        <f t="shared" si="11"/>
        <v>5</v>
      </c>
      <c r="R13" s="435">
        <f t="shared" si="11"/>
        <v>0</v>
      </c>
      <c r="S13" s="466">
        <f t="shared" si="11"/>
        <v>0</v>
      </c>
      <c r="T13" s="466">
        <f t="shared" si="11"/>
        <v>0</v>
      </c>
      <c r="U13" s="463">
        <f t="shared" si="4"/>
        <v>14</v>
      </c>
      <c r="V13" s="464">
        <f t="shared" si="5"/>
        <v>9</v>
      </c>
    </row>
    <row r="14" s="197" customFormat="1" ht="18" customHeight="1" spans="1:22">
      <c r="A14" s="431" t="s">
        <v>713</v>
      </c>
      <c r="B14" s="432"/>
      <c r="C14" s="437"/>
      <c r="D14" s="437"/>
      <c r="E14" s="437"/>
      <c r="F14" s="433">
        <f t="shared" si="0"/>
        <v>0</v>
      </c>
      <c r="G14" s="411" t="s">
        <v>714</v>
      </c>
      <c r="H14" s="435">
        <f t="shared" ref="H14:K14" si="12">SUM(H15:H19)</f>
        <v>0</v>
      </c>
      <c r="I14" s="435">
        <f t="shared" si="12"/>
        <v>5</v>
      </c>
      <c r="J14" s="435">
        <f t="shared" si="12"/>
        <v>14</v>
      </c>
      <c r="K14" s="435">
        <f t="shared" si="12"/>
        <v>5</v>
      </c>
      <c r="L14" s="457">
        <f t="shared" si="2"/>
        <v>0</v>
      </c>
      <c r="M14" s="435">
        <f t="shared" ref="M14:T14" si="13">SUM(M15:M19)</f>
        <v>0</v>
      </c>
      <c r="N14" s="435">
        <f t="shared" si="13"/>
        <v>0</v>
      </c>
      <c r="O14" s="435">
        <f t="shared" si="13"/>
        <v>0</v>
      </c>
      <c r="P14" s="435">
        <f t="shared" si="13"/>
        <v>9</v>
      </c>
      <c r="Q14" s="435">
        <f t="shared" si="13"/>
        <v>5</v>
      </c>
      <c r="R14" s="435">
        <f t="shared" si="13"/>
        <v>0</v>
      </c>
      <c r="S14" s="466">
        <f t="shared" si="13"/>
        <v>0</v>
      </c>
      <c r="T14" s="466">
        <f t="shared" si="13"/>
        <v>0</v>
      </c>
      <c r="U14" s="463">
        <f t="shared" si="4"/>
        <v>14</v>
      </c>
      <c r="V14" s="464">
        <f t="shared" si="5"/>
        <v>9</v>
      </c>
    </row>
    <row r="15" s="197" customFormat="1" ht="18" customHeight="1" spans="1:22">
      <c r="A15" s="431" t="s">
        <v>715</v>
      </c>
      <c r="B15" s="437"/>
      <c r="C15" s="437"/>
      <c r="D15" s="437"/>
      <c r="E15" s="437"/>
      <c r="F15" s="433">
        <f t="shared" si="0"/>
        <v>0</v>
      </c>
      <c r="G15" s="441" t="s">
        <v>716</v>
      </c>
      <c r="H15" s="437"/>
      <c r="I15" s="437">
        <v>0</v>
      </c>
      <c r="J15" s="437"/>
      <c r="K15" s="437"/>
      <c r="L15" s="457">
        <f t="shared" si="2"/>
        <v>0</v>
      </c>
      <c r="M15" s="437"/>
      <c r="N15" s="437">
        <f t="shared" ref="N15:N18" si="14">L15-J15</f>
        <v>0</v>
      </c>
      <c r="O15" s="437">
        <f t="shared" ref="O15:O18" si="15">L15-J15</f>
        <v>0</v>
      </c>
      <c r="P15" s="437">
        <f t="shared" ref="P15:P18" si="16">M15-K15</f>
        <v>0</v>
      </c>
      <c r="Q15" s="464"/>
      <c r="R15" s="464"/>
      <c r="S15" s="465"/>
      <c r="T15" s="465"/>
      <c r="U15" s="463">
        <f t="shared" si="4"/>
        <v>0</v>
      </c>
      <c r="V15" s="464">
        <f t="shared" si="5"/>
        <v>0</v>
      </c>
    </row>
    <row r="16" s="197" customFormat="1" ht="18" customHeight="1" spans="1:22">
      <c r="A16" s="431" t="s">
        <v>717</v>
      </c>
      <c r="B16" s="435">
        <f>SUM(B17:B21)</f>
        <v>26464</v>
      </c>
      <c r="C16" s="435">
        <f>SUM(C17:C21)</f>
        <v>19700</v>
      </c>
      <c r="D16" s="435">
        <f>SUM(D17:D21)</f>
        <v>4878</v>
      </c>
      <c r="E16" s="435">
        <f>SUM(E17:E21)</f>
        <v>4732</v>
      </c>
      <c r="F16" s="442">
        <f t="shared" si="0"/>
        <v>-82.12</v>
      </c>
      <c r="G16" s="441" t="s">
        <v>718</v>
      </c>
      <c r="H16" s="437"/>
      <c r="I16" s="437">
        <v>0</v>
      </c>
      <c r="J16" s="437"/>
      <c r="K16" s="437"/>
      <c r="L16" s="457">
        <f t="shared" si="2"/>
        <v>0</v>
      </c>
      <c r="M16" s="437"/>
      <c r="N16" s="437">
        <f t="shared" si="14"/>
        <v>0</v>
      </c>
      <c r="O16" s="437">
        <f t="shared" si="15"/>
        <v>0</v>
      </c>
      <c r="P16" s="437">
        <v>5</v>
      </c>
      <c r="Q16" s="464"/>
      <c r="R16" s="464"/>
      <c r="S16" s="465"/>
      <c r="T16" s="465"/>
      <c r="U16" s="463">
        <f t="shared" si="4"/>
        <v>5</v>
      </c>
      <c r="V16" s="464">
        <f t="shared" si="5"/>
        <v>5</v>
      </c>
    </row>
    <row r="17" s="197" customFormat="1" ht="18" customHeight="1" spans="1:22">
      <c r="A17" s="436" t="s">
        <v>719</v>
      </c>
      <c r="B17" s="437">
        <v>23218</v>
      </c>
      <c r="C17" s="36">
        <v>18680</v>
      </c>
      <c r="D17" s="437">
        <f>4565+35</f>
        <v>4600</v>
      </c>
      <c r="E17" s="437">
        <v>4466</v>
      </c>
      <c r="F17" s="433">
        <f t="shared" si="0"/>
        <v>-80.76</v>
      </c>
      <c r="G17" s="143" t="s">
        <v>720</v>
      </c>
      <c r="H17" s="437"/>
      <c r="I17" s="437">
        <v>0</v>
      </c>
      <c r="J17" s="437"/>
      <c r="K17" s="437"/>
      <c r="L17" s="457"/>
      <c r="M17" s="437"/>
      <c r="N17" s="437">
        <f t="shared" si="14"/>
        <v>0</v>
      </c>
      <c r="O17" s="437">
        <f t="shared" si="15"/>
        <v>0</v>
      </c>
      <c r="P17" s="437">
        <f t="shared" si="16"/>
        <v>0</v>
      </c>
      <c r="Q17" s="464"/>
      <c r="R17" s="464"/>
      <c r="S17" s="465"/>
      <c r="T17" s="465"/>
      <c r="U17" s="463">
        <f t="shared" si="4"/>
        <v>0</v>
      </c>
      <c r="V17" s="464">
        <f t="shared" si="5"/>
        <v>0</v>
      </c>
    </row>
    <row r="18" s="197" customFormat="1" ht="18" customHeight="1" spans="1:22">
      <c r="A18" s="436" t="s">
        <v>721</v>
      </c>
      <c r="B18" s="437">
        <v>213</v>
      </c>
      <c r="C18" s="36"/>
      <c r="D18" s="437">
        <v>303</v>
      </c>
      <c r="E18" s="437">
        <v>310</v>
      </c>
      <c r="F18" s="433">
        <f t="shared" si="0"/>
        <v>45.54</v>
      </c>
      <c r="G18" s="122" t="s">
        <v>722</v>
      </c>
      <c r="H18" s="437"/>
      <c r="I18" s="437">
        <v>0</v>
      </c>
      <c r="J18" s="437"/>
      <c r="K18" s="437"/>
      <c r="L18" s="456">
        <f t="shared" ref="L18:L29" si="17">IF(H18=0,0,SUM(K18/H18-1)*100)</f>
        <v>0</v>
      </c>
      <c r="M18" s="437"/>
      <c r="N18" s="437">
        <f t="shared" si="14"/>
        <v>0</v>
      </c>
      <c r="O18" s="437">
        <f t="shared" si="15"/>
        <v>0</v>
      </c>
      <c r="P18" s="437">
        <f t="shared" si="16"/>
        <v>0</v>
      </c>
      <c r="Q18" s="464"/>
      <c r="R18" s="464"/>
      <c r="S18" s="465"/>
      <c r="T18" s="465"/>
      <c r="U18" s="463">
        <f t="shared" si="4"/>
        <v>0</v>
      </c>
      <c r="V18" s="464">
        <f t="shared" si="5"/>
        <v>0</v>
      </c>
    </row>
    <row r="19" s="197" customFormat="1" ht="18" customHeight="1" spans="1:22">
      <c r="A19" s="436" t="s">
        <v>723</v>
      </c>
      <c r="B19" s="437">
        <v>2947</v>
      </c>
      <c r="C19" s="36">
        <v>1000</v>
      </c>
      <c r="D19" s="437">
        <v>27</v>
      </c>
      <c r="E19" s="437">
        <v>37</v>
      </c>
      <c r="F19" s="433">
        <f t="shared" si="0"/>
        <v>-98.74</v>
      </c>
      <c r="G19" s="122" t="s">
        <v>724</v>
      </c>
      <c r="H19" s="437"/>
      <c r="I19" s="437">
        <v>5</v>
      </c>
      <c r="J19" s="437">
        <v>14</v>
      </c>
      <c r="K19" s="437">
        <v>5</v>
      </c>
      <c r="L19" s="456">
        <f t="shared" si="17"/>
        <v>0</v>
      </c>
      <c r="M19" s="437"/>
      <c r="N19" s="437"/>
      <c r="O19" s="437"/>
      <c r="P19" s="437">
        <v>4</v>
      </c>
      <c r="Q19" s="464">
        <v>5</v>
      </c>
      <c r="R19" s="464"/>
      <c r="S19" s="465"/>
      <c r="T19" s="465"/>
      <c r="U19" s="463">
        <f t="shared" si="4"/>
        <v>9</v>
      </c>
      <c r="V19" s="464">
        <f t="shared" si="5"/>
        <v>4</v>
      </c>
    </row>
    <row r="20" s="197" customFormat="1" ht="18" customHeight="1" spans="1:22">
      <c r="A20" s="436" t="s">
        <v>725</v>
      </c>
      <c r="B20" s="437">
        <v>-153</v>
      </c>
      <c r="C20" s="36">
        <v>20</v>
      </c>
      <c r="D20" s="437">
        <v>-82</v>
      </c>
      <c r="E20" s="437">
        <v>-133</v>
      </c>
      <c r="F20" s="433">
        <f t="shared" si="0"/>
        <v>-13.07</v>
      </c>
      <c r="G20" s="411" t="s">
        <v>726</v>
      </c>
      <c r="H20" s="443">
        <f t="shared" ref="H20:K20" si="18">SUM(H21:H25)</f>
        <v>0</v>
      </c>
      <c r="I20" s="443">
        <f t="shared" si="18"/>
        <v>0</v>
      </c>
      <c r="J20" s="443">
        <f t="shared" si="18"/>
        <v>0</v>
      </c>
      <c r="K20" s="443">
        <f t="shared" si="18"/>
        <v>0</v>
      </c>
      <c r="L20" s="457">
        <f t="shared" si="17"/>
        <v>0</v>
      </c>
      <c r="M20" s="443">
        <f t="shared" ref="M20:T20" si="19">SUM(M21:M25)</f>
        <v>0</v>
      </c>
      <c r="N20" s="443">
        <f t="shared" si="19"/>
        <v>0</v>
      </c>
      <c r="O20" s="443">
        <f t="shared" si="19"/>
        <v>0</v>
      </c>
      <c r="P20" s="443">
        <f t="shared" si="19"/>
        <v>0</v>
      </c>
      <c r="Q20" s="443">
        <f t="shared" si="19"/>
        <v>0</v>
      </c>
      <c r="R20" s="443">
        <f t="shared" si="19"/>
        <v>0</v>
      </c>
      <c r="S20" s="467">
        <f t="shared" si="19"/>
        <v>0</v>
      </c>
      <c r="T20" s="467">
        <f t="shared" si="19"/>
        <v>0</v>
      </c>
      <c r="U20" s="463">
        <f t="shared" si="4"/>
        <v>0</v>
      </c>
      <c r="V20" s="464">
        <f t="shared" si="5"/>
        <v>0</v>
      </c>
    </row>
    <row r="21" s="197" customFormat="1" ht="18" customHeight="1" spans="1:22">
      <c r="A21" s="436" t="s">
        <v>727</v>
      </c>
      <c r="B21" s="432">
        <v>239</v>
      </c>
      <c r="C21" s="36"/>
      <c r="D21" s="437">
        <v>30</v>
      </c>
      <c r="E21" s="437">
        <v>52</v>
      </c>
      <c r="F21" s="433">
        <f t="shared" si="0"/>
        <v>-78.24</v>
      </c>
      <c r="G21" s="122" t="s">
        <v>728</v>
      </c>
      <c r="H21" s="100"/>
      <c r="I21" s="159">
        <v>0</v>
      </c>
      <c r="J21" s="159"/>
      <c r="K21" s="159"/>
      <c r="L21" s="457">
        <f t="shared" si="17"/>
        <v>0</v>
      </c>
      <c r="M21" s="159"/>
      <c r="N21" s="437">
        <f t="shared" ref="N21:N25" si="20">L21-J21</f>
        <v>0</v>
      </c>
      <c r="O21" s="437">
        <f t="shared" ref="O21:O25" si="21">L21-J21</f>
        <v>0</v>
      </c>
      <c r="P21" s="437">
        <f t="shared" ref="P21:P25" si="22">M21-K21</f>
        <v>0</v>
      </c>
      <c r="Q21" s="464"/>
      <c r="R21" s="464"/>
      <c r="S21" s="465"/>
      <c r="T21" s="465"/>
      <c r="U21" s="463">
        <f t="shared" si="4"/>
        <v>0</v>
      </c>
      <c r="V21" s="464">
        <f t="shared" si="5"/>
        <v>0</v>
      </c>
    </row>
    <row r="22" s="197" customFormat="1" ht="18" customHeight="1" spans="1:22">
      <c r="A22" s="431" t="s">
        <v>729</v>
      </c>
      <c r="B22" s="437"/>
      <c r="C22" s="159"/>
      <c r="D22" s="159"/>
      <c r="E22" s="159"/>
      <c r="F22" s="433">
        <f t="shared" si="0"/>
        <v>0</v>
      </c>
      <c r="G22" s="143" t="s">
        <v>730</v>
      </c>
      <c r="H22" s="437"/>
      <c r="I22" s="159">
        <v>0</v>
      </c>
      <c r="J22" s="437"/>
      <c r="K22" s="437"/>
      <c r="L22" s="457">
        <f t="shared" si="17"/>
        <v>0</v>
      </c>
      <c r="M22" s="437"/>
      <c r="N22" s="437">
        <f t="shared" si="20"/>
        <v>0</v>
      </c>
      <c r="O22" s="437">
        <f t="shared" si="21"/>
        <v>0</v>
      </c>
      <c r="P22" s="437">
        <f t="shared" si="22"/>
        <v>0</v>
      </c>
      <c r="Q22" s="464"/>
      <c r="R22" s="464"/>
      <c r="S22" s="465"/>
      <c r="T22" s="465"/>
      <c r="U22" s="463">
        <f t="shared" si="4"/>
        <v>0</v>
      </c>
      <c r="V22" s="464">
        <f t="shared" si="5"/>
        <v>0</v>
      </c>
    </row>
    <row r="23" s="197" customFormat="1" ht="18" customHeight="1" spans="1:22">
      <c r="A23" s="431" t="s">
        <v>731</v>
      </c>
      <c r="B23" s="437">
        <f>SUM(B24:B25)</f>
        <v>0</v>
      </c>
      <c r="C23" s="437">
        <f>SUM(C24:C25)</f>
        <v>0</v>
      </c>
      <c r="D23" s="437">
        <f>SUM(D24:D25)</f>
        <v>0</v>
      </c>
      <c r="E23" s="437">
        <f>SUM(E24:E25)</f>
        <v>0</v>
      </c>
      <c r="F23" s="433">
        <f t="shared" si="0"/>
        <v>0</v>
      </c>
      <c r="G23" s="143" t="s">
        <v>732</v>
      </c>
      <c r="H23" s="437"/>
      <c r="I23" s="437">
        <v>0</v>
      </c>
      <c r="J23" s="437"/>
      <c r="K23" s="437"/>
      <c r="L23" s="456">
        <f t="shared" si="17"/>
        <v>0</v>
      </c>
      <c r="M23" s="437"/>
      <c r="N23" s="437">
        <f t="shared" si="20"/>
        <v>0</v>
      </c>
      <c r="O23" s="437">
        <f t="shared" si="21"/>
        <v>0</v>
      </c>
      <c r="P23" s="437">
        <f t="shared" si="22"/>
        <v>0</v>
      </c>
      <c r="Q23" s="464"/>
      <c r="R23" s="464"/>
      <c r="S23" s="465"/>
      <c r="T23" s="465"/>
      <c r="U23" s="463">
        <f t="shared" si="4"/>
        <v>0</v>
      </c>
      <c r="V23" s="464">
        <f t="shared" si="5"/>
        <v>0</v>
      </c>
    </row>
    <row r="24" s="197" customFormat="1" ht="18" customHeight="1" spans="1:22">
      <c r="A24" s="436" t="s">
        <v>733</v>
      </c>
      <c r="B24" s="437"/>
      <c r="C24" s="437">
        <f>SUM(C25:C29)</f>
        <v>0</v>
      </c>
      <c r="D24" s="437">
        <f>SUM(D25:D29)</f>
        <v>0</v>
      </c>
      <c r="E24" s="437">
        <f>SUM(E25:E29)</f>
        <v>0</v>
      </c>
      <c r="F24" s="433">
        <f t="shared" si="0"/>
        <v>0</v>
      </c>
      <c r="G24" s="143" t="s">
        <v>734</v>
      </c>
      <c r="H24" s="432"/>
      <c r="I24" s="437">
        <v>0</v>
      </c>
      <c r="J24" s="437"/>
      <c r="K24" s="437"/>
      <c r="L24" s="457">
        <f t="shared" si="17"/>
        <v>0</v>
      </c>
      <c r="M24" s="437"/>
      <c r="N24" s="437">
        <f t="shared" si="20"/>
        <v>0</v>
      </c>
      <c r="O24" s="437">
        <f t="shared" si="21"/>
        <v>0</v>
      </c>
      <c r="P24" s="437">
        <f t="shared" si="22"/>
        <v>0</v>
      </c>
      <c r="Q24" s="464"/>
      <c r="R24" s="464"/>
      <c r="S24" s="465"/>
      <c r="T24" s="465"/>
      <c r="U24" s="463">
        <f t="shared" si="4"/>
        <v>0</v>
      </c>
      <c r="V24" s="464">
        <f t="shared" si="5"/>
        <v>0</v>
      </c>
    </row>
    <row r="25" s="197" customFormat="1" ht="18" customHeight="1" spans="1:22">
      <c r="A25" s="436" t="s">
        <v>735</v>
      </c>
      <c r="B25" s="437"/>
      <c r="C25" s="159"/>
      <c r="D25" s="100"/>
      <c r="E25" s="100"/>
      <c r="F25" s="433">
        <f t="shared" si="0"/>
        <v>0</v>
      </c>
      <c r="G25" s="143" t="s">
        <v>736</v>
      </c>
      <c r="H25" s="437"/>
      <c r="I25" s="437">
        <v>0</v>
      </c>
      <c r="J25" s="437"/>
      <c r="K25" s="437"/>
      <c r="L25" s="457">
        <f t="shared" si="17"/>
        <v>0</v>
      </c>
      <c r="M25" s="437"/>
      <c r="N25" s="437">
        <f t="shared" si="20"/>
        <v>0</v>
      </c>
      <c r="O25" s="437">
        <f t="shared" si="21"/>
        <v>0</v>
      </c>
      <c r="P25" s="437">
        <f t="shared" si="22"/>
        <v>0</v>
      </c>
      <c r="Q25" s="464"/>
      <c r="R25" s="464"/>
      <c r="S25" s="465"/>
      <c r="T25" s="465"/>
      <c r="U25" s="463">
        <f t="shared" si="4"/>
        <v>0</v>
      </c>
      <c r="V25" s="464">
        <f t="shared" si="5"/>
        <v>0</v>
      </c>
    </row>
    <row r="26" s="197" customFormat="1" ht="18" customHeight="1" spans="1:22">
      <c r="A26" s="431" t="s">
        <v>737</v>
      </c>
      <c r="B26" s="437"/>
      <c r="C26" s="159"/>
      <c r="D26" s="444"/>
      <c r="E26" s="444"/>
      <c r="F26" s="433">
        <f t="shared" si="0"/>
        <v>0</v>
      </c>
      <c r="G26" s="411" t="s">
        <v>738</v>
      </c>
      <c r="H26" s="435">
        <f t="shared" ref="H26:K26" si="23">SUM(H27:H28)</f>
        <v>0</v>
      </c>
      <c r="I26" s="435">
        <f t="shared" si="23"/>
        <v>0</v>
      </c>
      <c r="J26" s="435">
        <f t="shared" si="23"/>
        <v>0</v>
      </c>
      <c r="K26" s="435">
        <f t="shared" si="23"/>
        <v>0</v>
      </c>
      <c r="L26" s="457">
        <f t="shared" si="17"/>
        <v>0</v>
      </c>
      <c r="M26" s="435">
        <f t="shared" ref="M26:T26" si="24">SUM(M27:M28)</f>
        <v>0</v>
      </c>
      <c r="N26" s="435">
        <f t="shared" si="24"/>
        <v>0</v>
      </c>
      <c r="O26" s="435">
        <f t="shared" si="24"/>
        <v>0</v>
      </c>
      <c r="P26" s="435">
        <f t="shared" si="24"/>
        <v>0</v>
      </c>
      <c r="Q26" s="435">
        <f t="shared" si="24"/>
        <v>0</v>
      </c>
      <c r="R26" s="435">
        <f t="shared" si="24"/>
        <v>0</v>
      </c>
      <c r="S26" s="466">
        <f t="shared" si="24"/>
        <v>0</v>
      </c>
      <c r="T26" s="466">
        <f t="shared" si="24"/>
        <v>0</v>
      </c>
      <c r="U26" s="463">
        <f t="shared" si="4"/>
        <v>0</v>
      </c>
      <c r="V26" s="464">
        <f t="shared" si="5"/>
        <v>0</v>
      </c>
    </row>
    <row r="27" s="197" customFormat="1" ht="18" customHeight="1" spans="1:22">
      <c r="A27" s="431" t="s">
        <v>739</v>
      </c>
      <c r="B27" s="437"/>
      <c r="C27" s="159"/>
      <c r="D27" s="100"/>
      <c r="E27" s="100"/>
      <c r="F27" s="433">
        <f t="shared" si="0"/>
        <v>0</v>
      </c>
      <c r="G27" s="143" t="s">
        <v>740</v>
      </c>
      <c r="H27" s="437"/>
      <c r="I27" s="437">
        <v>0</v>
      </c>
      <c r="J27" s="437"/>
      <c r="K27" s="437"/>
      <c r="L27" s="456">
        <f t="shared" si="17"/>
        <v>0</v>
      </c>
      <c r="M27" s="437"/>
      <c r="N27" s="437">
        <f t="shared" ref="N27:N34" si="25">L27-J27</f>
        <v>0</v>
      </c>
      <c r="O27" s="437">
        <f t="shared" ref="O27:O34" si="26">L27-J27</f>
        <v>0</v>
      </c>
      <c r="P27" s="437">
        <f t="shared" ref="P27:P34" si="27">M27-K27</f>
        <v>0</v>
      </c>
      <c r="Q27" s="464"/>
      <c r="R27" s="464"/>
      <c r="S27" s="465"/>
      <c r="T27" s="465"/>
      <c r="U27" s="463">
        <f t="shared" si="4"/>
        <v>0</v>
      </c>
      <c r="V27" s="464">
        <f t="shared" si="5"/>
        <v>0</v>
      </c>
    </row>
    <row r="28" s="197" customFormat="1" ht="18" customHeight="1" spans="1:22">
      <c r="A28" s="431" t="s">
        <v>741</v>
      </c>
      <c r="B28" s="437"/>
      <c r="C28" s="159"/>
      <c r="D28" s="445"/>
      <c r="E28" s="445"/>
      <c r="F28" s="433">
        <f t="shared" si="0"/>
        <v>0</v>
      </c>
      <c r="G28" s="143" t="s">
        <v>742</v>
      </c>
      <c r="H28" s="437"/>
      <c r="I28" s="437">
        <v>0</v>
      </c>
      <c r="J28" s="437"/>
      <c r="K28" s="437"/>
      <c r="L28" s="456">
        <f t="shared" si="17"/>
        <v>0</v>
      </c>
      <c r="M28" s="437"/>
      <c r="N28" s="437">
        <f t="shared" si="25"/>
        <v>0</v>
      </c>
      <c r="O28" s="437">
        <f t="shared" si="26"/>
        <v>0</v>
      </c>
      <c r="P28" s="437">
        <f t="shared" si="27"/>
        <v>0</v>
      </c>
      <c r="Q28" s="464"/>
      <c r="R28" s="464"/>
      <c r="S28" s="465"/>
      <c r="T28" s="465"/>
      <c r="U28" s="463">
        <f t="shared" si="4"/>
        <v>0</v>
      </c>
      <c r="V28" s="464">
        <f t="shared" si="5"/>
        <v>0</v>
      </c>
    </row>
    <row r="29" s="197" customFormat="1" ht="18" customHeight="1" spans="1:22">
      <c r="A29" s="431" t="s">
        <v>743</v>
      </c>
      <c r="B29" s="437">
        <f>SUM(B30:B31)</f>
        <v>0</v>
      </c>
      <c r="C29" s="437">
        <f>SUM(C30:C31)</f>
        <v>0</v>
      </c>
      <c r="D29" s="437">
        <f>SUM(D30:D31)</f>
        <v>0</v>
      </c>
      <c r="E29" s="437">
        <f>SUM(E30:E31)</f>
        <v>0</v>
      </c>
      <c r="F29" s="433">
        <f t="shared" si="0"/>
        <v>0</v>
      </c>
      <c r="G29" s="410" t="s">
        <v>744</v>
      </c>
      <c r="H29" s="446">
        <f t="shared" ref="H29:K29" si="28">H30+H35</f>
        <v>0</v>
      </c>
      <c r="I29" s="446">
        <f t="shared" si="28"/>
        <v>0</v>
      </c>
      <c r="J29" s="446">
        <f t="shared" si="28"/>
        <v>0</v>
      </c>
      <c r="K29" s="446">
        <f t="shared" si="28"/>
        <v>0</v>
      </c>
      <c r="L29" s="457">
        <f t="shared" si="17"/>
        <v>0</v>
      </c>
      <c r="M29" s="446">
        <f t="shared" ref="M29:T29" si="29">M30+M35</f>
        <v>0</v>
      </c>
      <c r="N29" s="446">
        <f t="shared" si="29"/>
        <v>0</v>
      </c>
      <c r="O29" s="446">
        <f t="shared" si="29"/>
        <v>0</v>
      </c>
      <c r="P29" s="446">
        <f t="shared" si="29"/>
        <v>0</v>
      </c>
      <c r="Q29" s="446">
        <f t="shared" si="29"/>
        <v>0</v>
      </c>
      <c r="R29" s="446">
        <f t="shared" si="29"/>
        <v>0</v>
      </c>
      <c r="S29" s="468">
        <f t="shared" si="29"/>
        <v>0</v>
      </c>
      <c r="T29" s="468">
        <f t="shared" si="29"/>
        <v>0</v>
      </c>
      <c r="U29" s="463">
        <f t="shared" si="4"/>
        <v>0</v>
      </c>
      <c r="V29" s="464">
        <f t="shared" si="5"/>
        <v>0</v>
      </c>
    </row>
    <row r="30" s="197" customFormat="1" ht="18" customHeight="1" spans="1:22">
      <c r="A30" s="436" t="s">
        <v>745</v>
      </c>
      <c r="B30" s="437"/>
      <c r="C30" s="437"/>
      <c r="D30" s="437"/>
      <c r="E30" s="437"/>
      <c r="F30" s="433">
        <f t="shared" si="0"/>
        <v>0</v>
      </c>
      <c r="G30" s="411" t="s">
        <v>746</v>
      </c>
      <c r="H30" s="435">
        <f t="shared" ref="H30:T30" si="30">SUM(H31:H34)</f>
        <v>0</v>
      </c>
      <c r="I30" s="435">
        <f t="shared" si="30"/>
        <v>0</v>
      </c>
      <c r="J30" s="435">
        <f t="shared" si="30"/>
        <v>0</v>
      </c>
      <c r="K30" s="435">
        <f t="shared" si="30"/>
        <v>0</v>
      </c>
      <c r="L30" s="458">
        <f t="shared" si="30"/>
        <v>0</v>
      </c>
      <c r="M30" s="435">
        <f t="shared" si="30"/>
        <v>0</v>
      </c>
      <c r="N30" s="435">
        <f t="shared" si="30"/>
        <v>0</v>
      </c>
      <c r="O30" s="435">
        <f t="shared" si="30"/>
        <v>0</v>
      </c>
      <c r="P30" s="435">
        <f t="shared" si="30"/>
        <v>0</v>
      </c>
      <c r="Q30" s="435">
        <f t="shared" si="30"/>
        <v>0</v>
      </c>
      <c r="R30" s="435">
        <f t="shared" si="30"/>
        <v>0</v>
      </c>
      <c r="S30" s="466">
        <f t="shared" si="30"/>
        <v>0</v>
      </c>
      <c r="T30" s="466">
        <f t="shared" si="30"/>
        <v>0</v>
      </c>
      <c r="U30" s="463">
        <f t="shared" si="4"/>
        <v>0</v>
      </c>
      <c r="V30" s="464">
        <f t="shared" si="5"/>
        <v>0</v>
      </c>
    </row>
    <row r="31" s="197" customFormat="1" ht="18" customHeight="1" spans="1:22">
      <c r="A31" s="436" t="s">
        <v>747</v>
      </c>
      <c r="B31" s="437"/>
      <c r="C31" s="437"/>
      <c r="D31" s="437"/>
      <c r="E31" s="437"/>
      <c r="F31" s="433"/>
      <c r="G31" s="143" t="s">
        <v>748</v>
      </c>
      <c r="H31" s="432"/>
      <c r="I31" s="437">
        <v>0</v>
      </c>
      <c r="J31" s="437"/>
      <c r="K31" s="437"/>
      <c r="L31" s="457">
        <f t="shared" ref="L31:L54" si="31">IF(H31=0,0,SUM(K31/H31-1)*100)</f>
        <v>0</v>
      </c>
      <c r="M31" s="437"/>
      <c r="N31" s="437">
        <f t="shared" si="25"/>
        <v>0</v>
      </c>
      <c r="O31" s="437">
        <f t="shared" si="26"/>
        <v>0</v>
      </c>
      <c r="P31" s="437">
        <f t="shared" si="27"/>
        <v>0</v>
      </c>
      <c r="Q31" s="464"/>
      <c r="R31" s="464"/>
      <c r="S31" s="465"/>
      <c r="T31" s="465"/>
      <c r="U31" s="463">
        <f t="shared" si="4"/>
        <v>0</v>
      </c>
      <c r="V31" s="464">
        <f t="shared" si="5"/>
        <v>0</v>
      </c>
    </row>
    <row r="32" s="197" customFormat="1" ht="18" customHeight="1" spans="1:22">
      <c r="A32" s="431" t="s">
        <v>749</v>
      </c>
      <c r="B32" s="437"/>
      <c r="C32" s="437"/>
      <c r="D32" s="437"/>
      <c r="E32" s="437">
        <v>116</v>
      </c>
      <c r="F32" s="433">
        <f t="shared" ref="F32:F54" si="32">IF(B32=0,0,SUM(E32/B32-1)*100)</f>
        <v>0</v>
      </c>
      <c r="G32" s="143" t="s">
        <v>750</v>
      </c>
      <c r="H32" s="432"/>
      <c r="I32" s="437">
        <v>0</v>
      </c>
      <c r="J32" s="437"/>
      <c r="K32" s="437"/>
      <c r="L32" s="457">
        <f t="shared" si="31"/>
        <v>0</v>
      </c>
      <c r="M32" s="437"/>
      <c r="N32" s="437">
        <f t="shared" si="25"/>
        <v>0</v>
      </c>
      <c r="O32" s="437">
        <f t="shared" si="26"/>
        <v>0</v>
      </c>
      <c r="P32" s="437">
        <f t="shared" si="27"/>
        <v>0</v>
      </c>
      <c r="Q32" s="464"/>
      <c r="R32" s="464"/>
      <c r="S32" s="465"/>
      <c r="T32" s="465"/>
      <c r="U32" s="463">
        <f t="shared" si="4"/>
        <v>0</v>
      </c>
      <c r="V32" s="464">
        <f t="shared" si="5"/>
        <v>0</v>
      </c>
    </row>
    <row r="33" s="197" customFormat="1" ht="18" customHeight="1" spans="1:22">
      <c r="A33" s="431" t="s">
        <v>751</v>
      </c>
      <c r="B33" s="437"/>
      <c r="C33" s="437"/>
      <c r="D33" s="437"/>
      <c r="E33" s="437"/>
      <c r="F33" s="433">
        <f t="shared" si="32"/>
        <v>0</v>
      </c>
      <c r="G33" s="143" t="s">
        <v>752</v>
      </c>
      <c r="H33" s="432"/>
      <c r="I33" s="437">
        <v>0</v>
      </c>
      <c r="J33" s="437"/>
      <c r="K33" s="437"/>
      <c r="L33" s="457">
        <f t="shared" si="31"/>
        <v>0</v>
      </c>
      <c r="M33" s="437"/>
      <c r="N33" s="437">
        <f t="shared" si="25"/>
        <v>0</v>
      </c>
      <c r="O33" s="437">
        <f t="shared" si="26"/>
        <v>0</v>
      </c>
      <c r="P33" s="437">
        <f t="shared" si="27"/>
        <v>0</v>
      </c>
      <c r="Q33" s="464"/>
      <c r="R33" s="464"/>
      <c r="S33" s="465"/>
      <c r="T33" s="465"/>
      <c r="U33" s="463">
        <f t="shared" si="4"/>
        <v>0</v>
      </c>
      <c r="V33" s="464">
        <f t="shared" si="5"/>
        <v>0</v>
      </c>
    </row>
    <row r="34" s="197" customFormat="1" ht="18" customHeight="1" spans="1:22">
      <c r="A34" s="431" t="s">
        <v>753</v>
      </c>
      <c r="B34" s="437">
        <f>SUM(B35:B36)</f>
        <v>0</v>
      </c>
      <c r="C34" s="437">
        <f>SUM(C35:C36)</f>
        <v>0</v>
      </c>
      <c r="D34" s="437">
        <f>SUM(D35:D36)</f>
        <v>0</v>
      </c>
      <c r="E34" s="437">
        <f>SUM(E35:E36)</f>
        <v>0</v>
      </c>
      <c r="F34" s="433">
        <f t="shared" si="32"/>
        <v>0</v>
      </c>
      <c r="G34" s="143" t="s">
        <v>754</v>
      </c>
      <c r="H34" s="432"/>
      <c r="I34" s="432">
        <v>0</v>
      </c>
      <c r="J34" s="432"/>
      <c r="K34" s="432"/>
      <c r="L34" s="457">
        <f t="shared" si="31"/>
        <v>0</v>
      </c>
      <c r="M34" s="432"/>
      <c r="N34" s="437">
        <f t="shared" si="25"/>
        <v>0</v>
      </c>
      <c r="O34" s="437">
        <f t="shared" si="26"/>
        <v>0</v>
      </c>
      <c r="P34" s="437">
        <f t="shared" si="27"/>
        <v>0</v>
      </c>
      <c r="Q34" s="464"/>
      <c r="R34" s="464"/>
      <c r="S34" s="465"/>
      <c r="T34" s="465"/>
      <c r="U34" s="463">
        <f t="shared" si="4"/>
        <v>0</v>
      </c>
      <c r="V34" s="464">
        <f t="shared" si="5"/>
        <v>0</v>
      </c>
    </row>
    <row r="35" s="197" customFormat="1" ht="18" customHeight="1" spans="1:22">
      <c r="A35" s="436" t="s">
        <v>755</v>
      </c>
      <c r="B35" s="437"/>
      <c r="C35" s="437"/>
      <c r="D35" s="437"/>
      <c r="E35" s="437"/>
      <c r="F35" s="433">
        <f t="shared" si="32"/>
        <v>0</v>
      </c>
      <c r="G35" s="278" t="s">
        <v>756</v>
      </c>
      <c r="H35" s="447">
        <f t="shared" ref="H35:K35" si="33">SUM(H36:H39)</f>
        <v>0</v>
      </c>
      <c r="I35" s="447">
        <f t="shared" si="33"/>
        <v>0</v>
      </c>
      <c r="J35" s="447">
        <f t="shared" si="33"/>
        <v>0</v>
      </c>
      <c r="K35" s="447">
        <f t="shared" si="33"/>
        <v>0</v>
      </c>
      <c r="L35" s="456">
        <f t="shared" si="31"/>
        <v>0</v>
      </c>
      <c r="M35" s="447">
        <f t="shared" ref="M35:T35" si="34">SUM(M36:M39)</f>
        <v>0</v>
      </c>
      <c r="N35" s="447">
        <f t="shared" si="34"/>
        <v>0</v>
      </c>
      <c r="O35" s="447">
        <f t="shared" si="34"/>
        <v>0</v>
      </c>
      <c r="P35" s="447">
        <f t="shared" si="34"/>
        <v>0</v>
      </c>
      <c r="Q35" s="447">
        <f t="shared" si="34"/>
        <v>0</v>
      </c>
      <c r="R35" s="447">
        <f t="shared" si="34"/>
        <v>0</v>
      </c>
      <c r="S35" s="469">
        <f t="shared" si="34"/>
        <v>0</v>
      </c>
      <c r="T35" s="469">
        <f t="shared" si="34"/>
        <v>0</v>
      </c>
      <c r="U35" s="463">
        <f t="shared" si="4"/>
        <v>0</v>
      </c>
      <c r="V35" s="464">
        <f t="shared" si="5"/>
        <v>0</v>
      </c>
    </row>
    <row r="36" s="197" customFormat="1" ht="18" customHeight="1" spans="1:22">
      <c r="A36" s="436" t="s">
        <v>757</v>
      </c>
      <c r="B36" s="437">
        <f>SUM(B37:B39)</f>
        <v>0</v>
      </c>
      <c r="C36" s="437">
        <f>SUM(C37:C39)</f>
        <v>0</v>
      </c>
      <c r="D36" s="437">
        <f>SUM(D37:D39)</f>
        <v>0</v>
      </c>
      <c r="E36" s="437">
        <f>SUM(E37:E39)</f>
        <v>0</v>
      </c>
      <c r="F36" s="433">
        <f t="shared" si="32"/>
        <v>0</v>
      </c>
      <c r="G36" s="42" t="s">
        <v>758</v>
      </c>
      <c r="H36" s="437"/>
      <c r="I36" s="437">
        <v>0</v>
      </c>
      <c r="J36" s="437"/>
      <c r="K36" s="437"/>
      <c r="L36" s="456">
        <f t="shared" si="31"/>
        <v>0</v>
      </c>
      <c r="M36" s="437"/>
      <c r="N36" s="437">
        <f t="shared" ref="N36:N39" si="35">L36-J36</f>
        <v>0</v>
      </c>
      <c r="O36" s="437">
        <f t="shared" ref="O36:O39" si="36">L36-J36</f>
        <v>0</v>
      </c>
      <c r="P36" s="437">
        <f t="shared" ref="P36:P39" si="37">M36-K36</f>
        <v>0</v>
      </c>
      <c r="Q36" s="464"/>
      <c r="R36" s="464"/>
      <c r="S36" s="465"/>
      <c r="T36" s="465"/>
      <c r="U36" s="463">
        <f t="shared" si="4"/>
        <v>0</v>
      </c>
      <c r="V36" s="464">
        <f t="shared" si="5"/>
        <v>0</v>
      </c>
    </row>
    <row r="37" s="197" customFormat="1" ht="18" customHeight="1" spans="1:22">
      <c r="A37" s="431" t="s">
        <v>759</v>
      </c>
      <c r="B37" s="437"/>
      <c r="C37" s="437"/>
      <c r="D37" s="437"/>
      <c r="E37" s="437"/>
      <c r="F37" s="433">
        <f t="shared" si="32"/>
        <v>0</v>
      </c>
      <c r="G37" s="42" t="s">
        <v>760</v>
      </c>
      <c r="H37" s="437"/>
      <c r="I37" s="437">
        <v>0</v>
      </c>
      <c r="J37" s="437"/>
      <c r="K37" s="437"/>
      <c r="L37" s="456">
        <f t="shared" si="31"/>
        <v>0</v>
      </c>
      <c r="M37" s="437"/>
      <c r="N37" s="437">
        <f t="shared" si="35"/>
        <v>0</v>
      </c>
      <c r="O37" s="437">
        <f t="shared" si="36"/>
        <v>0</v>
      </c>
      <c r="P37" s="437">
        <f t="shared" si="37"/>
        <v>0</v>
      </c>
      <c r="Q37" s="464"/>
      <c r="R37" s="464"/>
      <c r="S37" s="465"/>
      <c r="T37" s="465"/>
      <c r="U37" s="463">
        <f t="shared" si="4"/>
        <v>0</v>
      </c>
      <c r="V37" s="464">
        <f t="shared" si="5"/>
        <v>0</v>
      </c>
    </row>
    <row r="38" s="197" customFormat="1" ht="18" customHeight="1" spans="1:22">
      <c r="A38" s="431" t="s">
        <v>761</v>
      </c>
      <c r="B38" s="437"/>
      <c r="C38" s="437"/>
      <c r="D38" s="437"/>
      <c r="E38" s="437"/>
      <c r="F38" s="433">
        <f t="shared" si="32"/>
        <v>0</v>
      </c>
      <c r="G38" s="42" t="s">
        <v>762</v>
      </c>
      <c r="H38" s="437"/>
      <c r="I38" s="437">
        <v>0</v>
      </c>
      <c r="J38" s="437"/>
      <c r="K38" s="437"/>
      <c r="L38" s="457">
        <f t="shared" si="31"/>
        <v>0</v>
      </c>
      <c r="M38" s="437"/>
      <c r="N38" s="437">
        <f t="shared" si="35"/>
        <v>0</v>
      </c>
      <c r="O38" s="437">
        <f t="shared" si="36"/>
        <v>0</v>
      </c>
      <c r="P38" s="437">
        <f t="shared" si="37"/>
        <v>0</v>
      </c>
      <c r="Q38" s="464"/>
      <c r="R38" s="464"/>
      <c r="S38" s="465"/>
      <c r="T38" s="465"/>
      <c r="U38" s="463">
        <f t="shared" si="4"/>
        <v>0</v>
      </c>
      <c r="V38" s="464">
        <f t="shared" si="5"/>
        <v>0</v>
      </c>
    </row>
    <row r="39" s="197" customFormat="1" ht="18" customHeight="1" spans="1:22">
      <c r="A39" s="431" t="s">
        <v>763</v>
      </c>
      <c r="B39" s="437"/>
      <c r="C39" s="437"/>
      <c r="D39" s="437"/>
      <c r="E39" s="437"/>
      <c r="F39" s="433">
        <f t="shared" si="32"/>
        <v>0</v>
      </c>
      <c r="G39" s="42" t="s">
        <v>764</v>
      </c>
      <c r="H39" s="448"/>
      <c r="I39" s="437">
        <v>0</v>
      </c>
      <c r="J39" s="437"/>
      <c r="K39" s="437"/>
      <c r="L39" s="457">
        <f t="shared" si="31"/>
        <v>0</v>
      </c>
      <c r="M39" s="437"/>
      <c r="N39" s="437">
        <f t="shared" si="35"/>
        <v>0</v>
      </c>
      <c r="O39" s="437">
        <f t="shared" si="36"/>
        <v>0</v>
      </c>
      <c r="P39" s="437">
        <f t="shared" si="37"/>
        <v>0</v>
      </c>
      <c r="Q39" s="464"/>
      <c r="R39" s="464"/>
      <c r="S39" s="465"/>
      <c r="T39" s="465"/>
      <c r="U39" s="463">
        <f t="shared" si="4"/>
        <v>0</v>
      </c>
      <c r="V39" s="464">
        <f t="shared" si="5"/>
        <v>0</v>
      </c>
    </row>
    <row r="40" s="197" customFormat="1" ht="18" customHeight="1" spans="1:22">
      <c r="A40" s="431" t="s">
        <v>765</v>
      </c>
      <c r="B40" s="437"/>
      <c r="C40" s="437"/>
      <c r="D40" s="437"/>
      <c r="E40" s="437"/>
      <c r="F40" s="433">
        <f t="shared" si="32"/>
        <v>0</v>
      </c>
      <c r="G40" s="410" t="s">
        <v>766</v>
      </c>
      <c r="H40" s="449">
        <f t="shared" ref="H40:K40" si="38">H41+H57+H61+H62+H68+H72+H76+H80+H86+H89</f>
        <v>14641</v>
      </c>
      <c r="I40" s="449">
        <f t="shared" si="38"/>
        <v>22077</v>
      </c>
      <c r="J40" s="449">
        <f t="shared" si="38"/>
        <v>21247</v>
      </c>
      <c r="K40" s="449">
        <f t="shared" si="38"/>
        <v>14947</v>
      </c>
      <c r="L40" s="457">
        <f t="shared" si="31"/>
        <v>2.09</v>
      </c>
      <c r="M40" s="449">
        <f t="shared" ref="M40:T40" si="39">M41+M57+M61+M62+M68+M72+M76+M80+M86+M89</f>
        <v>10881</v>
      </c>
      <c r="N40" s="449">
        <f t="shared" si="39"/>
        <v>-6243</v>
      </c>
      <c r="O40" s="449">
        <f t="shared" si="39"/>
        <v>0</v>
      </c>
      <c r="P40" s="449">
        <f t="shared" si="39"/>
        <v>60</v>
      </c>
      <c r="Q40" s="449">
        <f t="shared" si="39"/>
        <v>11196</v>
      </c>
      <c r="R40" s="449">
        <f t="shared" si="39"/>
        <v>-756</v>
      </c>
      <c r="S40" s="470">
        <f t="shared" si="39"/>
        <v>10526</v>
      </c>
      <c r="T40" s="470">
        <f t="shared" si="39"/>
        <v>0</v>
      </c>
      <c r="U40" s="463">
        <f t="shared" si="4"/>
        <v>25664</v>
      </c>
      <c r="V40" s="464">
        <f t="shared" si="5"/>
        <v>10717</v>
      </c>
    </row>
    <row r="41" s="197" customFormat="1" ht="18" customHeight="1" spans="1:22">
      <c r="A41" s="431" t="s">
        <v>767</v>
      </c>
      <c r="B41" s="437">
        <f>SUM(B42:B43)</f>
        <v>0</v>
      </c>
      <c r="C41" s="437">
        <f>SUM(C42:C43)</f>
        <v>0</v>
      </c>
      <c r="D41" s="437">
        <f>SUM(D42:D43)</f>
        <v>0</v>
      </c>
      <c r="E41" s="437">
        <f>SUM(E42:E43)</f>
        <v>0</v>
      </c>
      <c r="F41" s="433">
        <f t="shared" si="32"/>
        <v>0</v>
      </c>
      <c r="G41" s="411" t="s">
        <v>768</v>
      </c>
      <c r="H41" s="449">
        <f t="shared" ref="H41:K41" si="40">SUM(H42:H56)</f>
        <v>9794</v>
      </c>
      <c r="I41" s="449">
        <f t="shared" si="40"/>
        <v>21447</v>
      </c>
      <c r="J41" s="449">
        <f t="shared" si="40"/>
        <v>11875</v>
      </c>
      <c r="K41" s="449">
        <f t="shared" si="40"/>
        <v>5344</v>
      </c>
      <c r="L41" s="457">
        <f t="shared" si="31"/>
        <v>-45.44</v>
      </c>
      <c r="M41" s="449">
        <f t="shared" ref="M41:T41" si="41">SUM(M42:M56)</f>
        <v>10881</v>
      </c>
      <c r="N41" s="449">
        <f t="shared" si="41"/>
        <v>-6243</v>
      </c>
      <c r="O41" s="449">
        <f t="shared" si="41"/>
        <v>0</v>
      </c>
      <c r="P41" s="449">
        <f t="shared" si="41"/>
        <v>60</v>
      </c>
      <c r="Q41" s="449">
        <f t="shared" si="41"/>
        <v>10566</v>
      </c>
      <c r="R41" s="449">
        <f t="shared" si="41"/>
        <v>-1452</v>
      </c>
      <c r="S41" s="470">
        <f t="shared" si="41"/>
        <v>0</v>
      </c>
      <c r="T41" s="470">
        <f t="shared" si="41"/>
        <v>0</v>
      </c>
      <c r="U41" s="463">
        <f t="shared" si="4"/>
        <v>13812</v>
      </c>
      <c r="V41" s="464">
        <f t="shared" si="5"/>
        <v>8468</v>
      </c>
    </row>
    <row r="42" s="197" customFormat="1" ht="18" customHeight="1" spans="1:22">
      <c r="A42" s="436" t="s">
        <v>769</v>
      </c>
      <c r="B42" s="437"/>
      <c r="C42" s="437"/>
      <c r="D42" s="437"/>
      <c r="E42" s="437"/>
      <c r="F42" s="433">
        <f t="shared" si="32"/>
        <v>0</v>
      </c>
      <c r="G42" s="143" t="s">
        <v>770</v>
      </c>
      <c r="H42" s="437">
        <v>2024</v>
      </c>
      <c r="I42" s="437">
        <v>3200</v>
      </c>
      <c r="J42" s="437">
        <v>3200</v>
      </c>
      <c r="K42" s="437">
        <v>1109</v>
      </c>
      <c r="L42" s="457">
        <f t="shared" si="31"/>
        <v>-45.21</v>
      </c>
      <c r="M42" s="437">
        <v>3200</v>
      </c>
      <c r="N42" s="437"/>
      <c r="O42" s="437"/>
      <c r="P42" s="437"/>
      <c r="Q42" s="464"/>
      <c r="R42" s="464">
        <v>-2091</v>
      </c>
      <c r="S42" s="465"/>
      <c r="T42" s="465"/>
      <c r="U42" s="463">
        <f t="shared" si="4"/>
        <v>1109</v>
      </c>
      <c r="V42" s="464">
        <f t="shared" si="5"/>
        <v>0</v>
      </c>
    </row>
    <row r="43" s="197" customFormat="1" ht="18" customHeight="1" spans="1:22">
      <c r="A43" s="436" t="s">
        <v>771</v>
      </c>
      <c r="B43" s="437"/>
      <c r="C43" s="437"/>
      <c r="D43" s="437"/>
      <c r="E43" s="437"/>
      <c r="F43" s="433">
        <f t="shared" si="32"/>
        <v>0</v>
      </c>
      <c r="G43" s="143" t="s">
        <v>772</v>
      </c>
      <c r="H43" s="437">
        <v>1896</v>
      </c>
      <c r="I43" s="437">
        <v>272</v>
      </c>
      <c r="J43" s="437">
        <v>272</v>
      </c>
      <c r="K43" s="437">
        <v>24</v>
      </c>
      <c r="L43" s="456">
        <f t="shared" si="31"/>
        <v>-98.73</v>
      </c>
      <c r="M43" s="437">
        <v>272</v>
      </c>
      <c r="N43" s="437">
        <v>-248</v>
      </c>
      <c r="O43" s="437"/>
      <c r="P43" s="437"/>
      <c r="Q43" s="464"/>
      <c r="R43" s="464"/>
      <c r="S43" s="465"/>
      <c r="T43" s="465"/>
      <c r="U43" s="463">
        <f t="shared" si="4"/>
        <v>24</v>
      </c>
      <c r="V43" s="464">
        <f t="shared" si="5"/>
        <v>0</v>
      </c>
    </row>
    <row r="44" s="197" customFormat="1" ht="18" customHeight="1" spans="1:22">
      <c r="A44" s="431" t="s">
        <v>773</v>
      </c>
      <c r="B44" s="437">
        <v>543</v>
      </c>
      <c r="C44" s="437">
        <v>520</v>
      </c>
      <c r="D44" s="437">
        <v>456</v>
      </c>
      <c r="E44" s="437">
        <v>600</v>
      </c>
      <c r="F44" s="433">
        <f t="shared" si="32"/>
        <v>10.5</v>
      </c>
      <c r="G44" s="143" t="s">
        <v>774</v>
      </c>
      <c r="H44" s="437">
        <v>0</v>
      </c>
      <c r="I44" s="159">
        <v>330</v>
      </c>
      <c r="J44" s="159">
        <v>330</v>
      </c>
      <c r="K44" s="159">
        <v>717</v>
      </c>
      <c r="L44" s="457">
        <f t="shared" si="31"/>
        <v>0</v>
      </c>
      <c r="M44" s="437">
        <v>330</v>
      </c>
      <c r="N44" s="159"/>
      <c r="O44" s="159"/>
      <c r="P44" s="159"/>
      <c r="Q44" s="464"/>
      <c r="R44" s="464">
        <v>387</v>
      </c>
      <c r="S44" s="465"/>
      <c r="T44" s="465"/>
      <c r="U44" s="463">
        <f t="shared" si="4"/>
        <v>717</v>
      </c>
      <c r="V44" s="464">
        <f t="shared" si="5"/>
        <v>0</v>
      </c>
    </row>
    <row r="45" s="197" customFormat="1" ht="18" customHeight="1" spans="1:22">
      <c r="A45" s="431" t="s">
        <v>775</v>
      </c>
      <c r="B45" s="437">
        <f>SUM(B46:B52)</f>
        <v>0</v>
      </c>
      <c r="C45" s="437">
        <f>SUM(C46:C52)</f>
        <v>0</v>
      </c>
      <c r="D45" s="437">
        <f>SUM(D46:D52)</f>
        <v>0</v>
      </c>
      <c r="E45" s="437">
        <f>SUM(E46:E52)</f>
        <v>0</v>
      </c>
      <c r="F45" s="433">
        <f t="shared" si="32"/>
        <v>0</v>
      </c>
      <c r="G45" s="143" t="s">
        <v>776</v>
      </c>
      <c r="H45" s="437">
        <v>1925</v>
      </c>
      <c r="I45" s="159">
        <v>6084</v>
      </c>
      <c r="J45" s="159">
        <v>3268</v>
      </c>
      <c r="K45" s="159">
        <v>541</v>
      </c>
      <c r="L45" s="457">
        <f t="shared" si="31"/>
        <v>-71.9</v>
      </c>
      <c r="M45" s="437"/>
      <c r="N45" s="159"/>
      <c r="O45" s="159"/>
      <c r="P45" s="159"/>
      <c r="Q45" s="464">
        <v>6084</v>
      </c>
      <c r="R45" s="464">
        <v>-7</v>
      </c>
      <c r="S45" s="465"/>
      <c r="T45" s="465"/>
      <c r="U45" s="463">
        <f t="shared" si="4"/>
        <v>6077</v>
      </c>
      <c r="V45" s="464">
        <f t="shared" si="5"/>
        <v>5536</v>
      </c>
    </row>
    <row r="46" s="197" customFormat="1" ht="18" customHeight="1" spans="1:22">
      <c r="A46" s="436" t="s">
        <v>777</v>
      </c>
      <c r="B46" s="437"/>
      <c r="C46" s="437"/>
      <c r="D46" s="437"/>
      <c r="E46" s="437"/>
      <c r="F46" s="433">
        <f t="shared" si="32"/>
        <v>0</v>
      </c>
      <c r="G46" s="122" t="s">
        <v>778</v>
      </c>
      <c r="H46" s="437">
        <v>0</v>
      </c>
      <c r="I46" s="159">
        <v>0</v>
      </c>
      <c r="J46" s="159">
        <v>1362</v>
      </c>
      <c r="K46" s="159">
        <v>259</v>
      </c>
      <c r="L46" s="457">
        <f t="shared" si="31"/>
        <v>0</v>
      </c>
      <c r="M46" s="437"/>
      <c r="N46" s="159"/>
      <c r="O46" s="159"/>
      <c r="P46" s="159"/>
      <c r="Q46" s="464"/>
      <c r="R46" s="464">
        <v>259</v>
      </c>
      <c r="S46" s="465"/>
      <c r="T46" s="465"/>
      <c r="U46" s="463">
        <f t="shared" si="4"/>
        <v>259</v>
      </c>
      <c r="V46" s="464">
        <f t="shared" si="5"/>
        <v>0</v>
      </c>
    </row>
    <row r="47" s="197" customFormat="1" ht="18" customHeight="1" spans="1:22">
      <c r="A47" s="436" t="s">
        <v>779</v>
      </c>
      <c r="B47" s="437"/>
      <c r="C47" s="437"/>
      <c r="D47" s="437"/>
      <c r="E47" s="437"/>
      <c r="F47" s="433">
        <f t="shared" si="32"/>
        <v>0</v>
      </c>
      <c r="G47" s="143" t="s">
        <v>780</v>
      </c>
      <c r="H47" s="437">
        <v>34</v>
      </c>
      <c r="I47" s="437">
        <v>98</v>
      </c>
      <c r="J47" s="437">
        <v>33</v>
      </c>
      <c r="K47" s="437">
        <v>43</v>
      </c>
      <c r="L47" s="457">
        <f t="shared" si="31"/>
        <v>26.47</v>
      </c>
      <c r="M47" s="437"/>
      <c r="N47" s="437"/>
      <c r="O47" s="437"/>
      <c r="P47" s="437"/>
      <c r="Q47" s="464">
        <v>98</v>
      </c>
      <c r="R47" s="464"/>
      <c r="S47" s="465"/>
      <c r="T47" s="465"/>
      <c r="U47" s="463">
        <f t="shared" si="4"/>
        <v>98</v>
      </c>
      <c r="V47" s="464">
        <f t="shared" si="5"/>
        <v>55</v>
      </c>
    </row>
    <row r="48" s="197" customFormat="1" ht="18" customHeight="1" spans="1:22">
      <c r="A48" s="436" t="s">
        <v>781</v>
      </c>
      <c r="B48" s="437"/>
      <c r="C48" s="437"/>
      <c r="D48" s="437"/>
      <c r="E48" s="437"/>
      <c r="F48" s="433">
        <f t="shared" si="32"/>
        <v>0</v>
      </c>
      <c r="G48" s="143" t="s">
        <v>782</v>
      </c>
      <c r="H48" s="437">
        <v>0</v>
      </c>
      <c r="I48" s="159">
        <v>0</v>
      </c>
      <c r="J48" s="159"/>
      <c r="K48" s="159"/>
      <c r="L48" s="457">
        <f t="shared" si="31"/>
        <v>0</v>
      </c>
      <c r="M48" s="437"/>
      <c r="N48" s="159"/>
      <c r="O48" s="159"/>
      <c r="P48" s="159"/>
      <c r="Q48" s="464"/>
      <c r="R48" s="464"/>
      <c r="S48" s="465"/>
      <c r="T48" s="465"/>
      <c r="U48" s="463">
        <f t="shared" si="4"/>
        <v>0</v>
      </c>
      <c r="V48" s="464">
        <f t="shared" si="5"/>
        <v>0</v>
      </c>
    </row>
    <row r="49" s="197" customFormat="1" ht="18" customHeight="1" spans="1:22">
      <c r="A49" s="436" t="s">
        <v>783</v>
      </c>
      <c r="B49" s="437"/>
      <c r="C49" s="437"/>
      <c r="D49" s="437"/>
      <c r="E49" s="437"/>
      <c r="F49" s="433">
        <f t="shared" si="32"/>
        <v>0</v>
      </c>
      <c r="G49" s="143" t="s">
        <v>784</v>
      </c>
      <c r="H49" s="437">
        <v>6</v>
      </c>
      <c r="I49" s="159">
        <v>0</v>
      </c>
      <c r="J49" s="159"/>
      <c r="K49" s="159"/>
      <c r="L49" s="457">
        <f t="shared" si="31"/>
        <v>-100</v>
      </c>
      <c r="M49" s="437"/>
      <c r="N49" s="159"/>
      <c r="O49" s="159"/>
      <c r="P49" s="159"/>
      <c r="Q49" s="464"/>
      <c r="R49" s="464"/>
      <c r="S49" s="465"/>
      <c r="T49" s="465"/>
      <c r="U49" s="463">
        <f t="shared" si="4"/>
        <v>0</v>
      </c>
      <c r="V49" s="464">
        <f t="shared" si="5"/>
        <v>0</v>
      </c>
    </row>
    <row r="50" s="197" customFormat="1" ht="18" customHeight="1" spans="1:22">
      <c r="A50" s="436" t="s">
        <v>785</v>
      </c>
      <c r="B50" s="432"/>
      <c r="C50" s="437"/>
      <c r="D50" s="437"/>
      <c r="E50" s="437"/>
      <c r="F50" s="433">
        <f t="shared" si="32"/>
        <v>0</v>
      </c>
      <c r="G50" s="42" t="s">
        <v>786</v>
      </c>
      <c r="H50" s="437">
        <v>0</v>
      </c>
      <c r="I50" s="159">
        <v>0</v>
      </c>
      <c r="J50" s="159"/>
      <c r="K50" s="159"/>
      <c r="L50" s="457">
        <f t="shared" si="31"/>
        <v>0</v>
      </c>
      <c r="M50" s="437"/>
      <c r="N50" s="159"/>
      <c r="O50" s="159"/>
      <c r="P50" s="159"/>
      <c r="Q50" s="464"/>
      <c r="R50" s="464"/>
      <c r="S50" s="465"/>
      <c r="T50" s="465"/>
      <c r="U50" s="463">
        <f t="shared" si="4"/>
        <v>0</v>
      </c>
      <c r="V50" s="464">
        <f t="shared" si="5"/>
        <v>0</v>
      </c>
    </row>
    <row r="51" s="197" customFormat="1" ht="18" customHeight="1" spans="1:22">
      <c r="A51" s="436" t="s">
        <v>787</v>
      </c>
      <c r="B51" s="432"/>
      <c r="C51" s="437"/>
      <c r="D51" s="437"/>
      <c r="E51" s="437"/>
      <c r="F51" s="433">
        <f t="shared" si="32"/>
        <v>0</v>
      </c>
      <c r="G51" s="143" t="s">
        <v>788</v>
      </c>
      <c r="H51" s="437">
        <v>0</v>
      </c>
      <c r="I51" s="159">
        <v>0</v>
      </c>
      <c r="J51" s="159"/>
      <c r="K51" s="159"/>
      <c r="L51" s="457">
        <f t="shared" si="31"/>
        <v>0</v>
      </c>
      <c r="M51" s="437"/>
      <c r="N51" s="159"/>
      <c r="O51" s="159"/>
      <c r="P51" s="159"/>
      <c r="Q51" s="464"/>
      <c r="R51" s="464"/>
      <c r="S51" s="465"/>
      <c r="T51" s="465"/>
      <c r="U51" s="463">
        <f t="shared" si="4"/>
        <v>0</v>
      </c>
      <c r="V51" s="464">
        <f t="shared" si="5"/>
        <v>0</v>
      </c>
    </row>
    <row r="52" s="197" customFormat="1" ht="18" customHeight="1" spans="1:22">
      <c r="A52" s="436" t="s">
        <v>789</v>
      </c>
      <c r="B52" s="432"/>
      <c r="C52" s="437"/>
      <c r="D52" s="437"/>
      <c r="E52" s="437"/>
      <c r="F52" s="433">
        <f t="shared" si="32"/>
        <v>0</v>
      </c>
      <c r="G52" s="143" t="s">
        <v>790</v>
      </c>
      <c r="H52" s="437">
        <v>0</v>
      </c>
      <c r="I52" s="437">
        <v>0</v>
      </c>
      <c r="J52" s="437"/>
      <c r="K52" s="437"/>
      <c r="L52" s="457">
        <f t="shared" si="31"/>
        <v>0</v>
      </c>
      <c r="M52" s="437"/>
      <c r="N52" s="437"/>
      <c r="O52" s="437"/>
      <c r="P52" s="437"/>
      <c r="Q52" s="464"/>
      <c r="R52" s="464"/>
      <c r="S52" s="465"/>
      <c r="T52" s="465"/>
      <c r="U52" s="463">
        <f t="shared" si="4"/>
        <v>0</v>
      </c>
      <c r="V52" s="464">
        <f t="shared" si="5"/>
        <v>0</v>
      </c>
    </row>
    <row r="53" s="197" customFormat="1" ht="18" customHeight="1" spans="1:22">
      <c r="A53" s="450" t="s">
        <v>791</v>
      </c>
      <c r="B53" s="432"/>
      <c r="C53" s="437"/>
      <c r="D53" s="437"/>
      <c r="E53" s="437"/>
      <c r="F53" s="433">
        <f t="shared" si="32"/>
        <v>0</v>
      </c>
      <c r="G53" s="42" t="s">
        <v>792</v>
      </c>
      <c r="H53" s="437">
        <v>560</v>
      </c>
      <c r="I53" s="437">
        <v>647</v>
      </c>
      <c r="J53" s="437">
        <v>217</v>
      </c>
      <c r="K53" s="437">
        <v>446</v>
      </c>
      <c r="L53" s="456">
        <f t="shared" si="31"/>
        <v>-20.36</v>
      </c>
      <c r="M53" s="437">
        <v>200</v>
      </c>
      <c r="N53" s="437">
        <f>-200-1</f>
        <v>-201</v>
      </c>
      <c r="O53" s="437"/>
      <c r="P53" s="437"/>
      <c r="Q53" s="464">
        <v>447</v>
      </c>
      <c r="R53" s="464"/>
      <c r="S53" s="465"/>
      <c r="T53" s="465"/>
      <c r="U53" s="463">
        <f t="shared" si="4"/>
        <v>446</v>
      </c>
      <c r="V53" s="464">
        <f t="shared" si="5"/>
        <v>0</v>
      </c>
    </row>
    <row r="54" s="197" customFormat="1" ht="18" customHeight="1" spans="1:22">
      <c r="A54" s="431" t="s">
        <v>793</v>
      </c>
      <c r="B54" s="432"/>
      <c r="C54" s="437"/>
      <c r="D54" s="437"/>
      <c r="E54" s="437"/>
      <c r="F54" s="433">
        <f t="shared" si="32"/>
        <v>0</v>
      </c>
      <c r="G54" s="42" t="s">
        <v>794</v>
      </c>
      <c r="H54" s="437">
        <v>700</v>
      </c>
      <c r="I54" s="159">
        <v>0</v>
      </c>
      <c r="J54" s="159"/>
      <c r="K54" s="159"/>
      <c r="L54" s="457">
        <f t="shared" si="31"/>
        <v>-100</v>
      </c>
      <c r="M54" s="437"/>
      <c r="N54" s="159"/>
      <c r="O54" s="159"/>
      <c r="P54" s="159"/>
      <c r="Q54" s="464"/>
      <c r="R54" s="464"/>
      <c r="S54" s="465"/>
      <c r="T54" s="465"/>
      <c r="U54" s="463">
        <f t="shared" si="4"/>
        <v>0</v>
      </c>
      <c r="V54" s="464">
        <f t="shared" si="5"/>
        <v>0</v>
      </c>
    </row>
    <row r="55" s="197" customFormat="1" ht="18" customHeight="1" spans="1:22">
      <c r="A55" s="431" t="s">
        <v>795</v>
      </c>
      <c r="B55" s="432">
        <f>B56+B57+B58+B62+B63+B64+B65+B66+B67+B70+B71</f>
        <v>504</v>
      </c>
      <c r="C55" s="432">
        <f>C56+C57+C58+C62+C63+C64+C65+C66+C67+C70+C71</f>
        <v>0</v>
      </c>
      <c r="D55" s="432">
        <f>D56+D57+D58+D62+D63+D64+D65+D66+D67+D70+D71</f>
        <v>74</v>
      </c>
      <c r="E55" s="432">
        <f>E56+E57+E58+E62+E63+E64+E65+E66+E67+E70+E71</f>
        <v>148</v>
      </c>
      <c r="F55" s="433"/>
      <c r="G55" s="42" t="s">
        <v>796</v>
      </c>
      <c r="H55" s="437">
        <v>426</v>
      </c>
      <c r="I55" s="159">
        <v>1180</v>
      </c>
      <c r="J55" s="159">
        <v>492</v>
      </c>
      <c r="K55" s="159">
        <v>518</v>
      </c>
      <c r="L55" s="457"/>
      <c r="M55" s="437">
        <v>1150</v>
      </c>
      <c r="N55" s="159">
        <v>-722</v>
      </c>
      <c r="O55" s="159"/>
      <c r="P55" s="159">
        <v>60</v>
      </c>
      <c r="Q55" s="464">
        <v>30</v>
      </c>
      <c r="R55" s="464"/>
      <c r="S55" s="465"/>
      <c r="T55" s="465"/>
      <c r="U55" s="463">
        <f t="shared" si="4"/>
        <v>518</v>
      </c>
      <c r="V55" s="464">
        <f t="shared" si="5"/>
        <v>0</v>
      </c>
    </row>
    <row r="56" s="197" customFormat="1" ht="18" customHeight="1" spans="1:22">
      <c r="A56" s="431" t="s">
        <v>797</v>
      </c>
      <c r="B56" s="432"/>
      <c r="C56" s="437"/>
      <c r="D56" s="437"/>
      <c r="E56" s="437"/>
      <c r="F56" s="433"/>
      <c r="G56" s="42" t="s">
        <v>798</v>
      </c>
      <c r="H56" s="437">
        <v>2223</v>
      </c>
      <c r="I56" s="159">
        <v>9636</v>
      </c>
      <c r="J56" s="159">
        <v>2701</v>
      </c>
      <c r="K56" s="159">
        <v>1687</v>
      </c>
      <c r="L56" s="457">
        <f t="shared" ref="L56:L67" si="42">IF(H56=0,0,SUM(K56/H56-1)*100)</f>
        <v>-24.11</v>
      </c>
      <c r="M56" s="437">
        <v>5729</v>
      </c>
      <c r="N56" s="159">
        <f>-5729+657</f>
        <v>-5072</v>
      </c>
      <c r="O56" s="159"/>
      <c r="P56" s="159"/>
      <c r="Q56" s="464">
        <v>3907</v>
      </c>
      <c r="R56" s="464"/>
      <c r="S56" s="465"/>
      <c r="T56" s="465"/>
      <c r="U56" s="463">
        <f t="shared" si="4"/>
        <v>4564</v>
      </c>
      <c r="V56" s="464">
        <f t="shared" si="5"/>
        <v>2877</v>
      </c>
    </row>
    <row r="57" s="197" customFormat="1" ht="18" customHeight="1" spans="1:22">
      <c r="A57" s="431" t="s">
        <v>799</v>
      </c>
      <c r="B57" s="432"/>
      <c r="C57" s="437"/>
      <c r="D57" s="437"/>
      <c r="E57" s="437"/>
      <c r="F57" s="433"/>
      <c r="G57" s="278" t="s">
        <v>800</v>
      </c>
      <c r="H57" s="435">
        <f t="shared" ref="H57:K57" si="43">SUM(H58:H60)</f>
        <v>0</v>
      </c>
      <c r="I57" s="435">
        <f t="shared" si="43"/>
        <v>0</v>
      </c>
      <c r="J57" s="435">
        <f t="shared" si="43"/>
        <v>0</v>
      </c>
      <c r="K57" s="435">
        <f t="shared" si="43"/>
        <v>0</v>
      </c>
      <c r="L57" s="456">
        <f t="shared" si="42"/>
        <v>0</v>
      </c>
      <c r="M57" s="435">
        <f t="shared" ref="M57:T57" si="44">SUM(M58:M60)</f>
        <v>0</v>
      </c>
      <c r="N57" s="435">
        <f t="shared" si="44"/>
        <v>0</v>
      </c>
      <c r="O57" s="435">
        <f t="shared" si="44"/>
        <v>0</v>
      </c>
      <c r="P57" s="435">
        <f t="shared" si="44"/>
        <v>0</v>
      </c>
      <c r="Q57" s="435">
        <f t="shared" si="44"/>
        <v>0</v>
      </c>
      <c r="R57" s="435">
        <f t="shared" si="44"/>
        <v>0</v>
      </c>
      <c r="S57" s="466">
        <f t="shared" si="44"/>
        <v>0</v>
      </c>
      <c r="T57" s="466">
        <f t="shared" si="44"/>
        <v>0</v>
      </c>
      <c r="U57" s="463">
        <f t="shared" si="4"/>
        <v>0</v>
      </c>
      <c r="V57" s="464">
        <f t="shared" si="5"/>
        <v>0</v>
      </c>
    </row>
    <row r="58" s="197" customFormat="1" ht="18" customHeight="1" spans="1:22">
      <c r="A58" s="431" t="s">
        <v>801</v>
      </c>
      <c r="B58" s="432">
        <f>SUM(B59:B60)</f>
        <v>0</v>
      </c>
      <c r="C58" s="432">
        <f>SUM(C59:C60)</f>
        <v>0</v>
      </c>
      <c r="D58" s="432">
        <f>SUM(D59:D60)</f>
        <v>0</v>
      </c>
      <c r="E58" s="432">
        <f>SUM(E59:E60)</f>
        <v>0</v>
      </c>
      <c r="F58" s="433">
        <f t="shared" ref="F58:F90" si="45">IF(B58=0,0,SUM(E58/B58-1)*100)</f>
        <v>0</v>
      </c>
      <c r="G58" s="440" t="s">
        <v>770</v>
      </c>
      <c r="H58" s="100"/>
      <c r="I58" s="159">
        <v>0</v>
      </c>
      <c r="J58" s="159"/>
      <c r="K58" s="159"/>
      <c r="L58" s="457">
        <f t="shared" si="42"/>
        <v>0</v>
      </c>
      <c r="M58" s="159"/>
      <c r="N58" s="437">
        <f t="shared" ref="N58:N60" si="46">L58-J58</f>
        <v>0</v>
      </c>
      <c r="O58" s="437">
        <f t="shared" ref="O58:O60" si="47">L58-J58</f>
        <v>0</v>
      </c>
      <c r="P58" s="437">
        <f t="shared" ref="P58:P60" si="48">M58-K58</f>
        <v>0</v>
      </c>
      <c r="Q58" s="464"/>
      <c r="R58" s="464"/>
      <c r="S58" s="465"/>
      <c r="T58" s="465"/>
      <c r="U58" s="463">
        <f t="shared" si="4"/>
        <v>0</v>
      </c>
      <c r="V58" s="464">
        <f t="shared" si="5"/>
        <v>0</v>
      </c>
    </row>
    <row r="59" s="197" customFormat="1" ht="18" customHeight="1" spans="1:22">
      <c r="A59" s="436" t="s">
        <v>802</v>
      </c>
      <c r="B59" s="432"/>
      <c r="C59" s="437"/>
      <c r="D59" s="437"/>
      <c r="E59" s="437"/>
      <c r="F59" s="433">
        <f t="shared" si="45"/>
        <v>0</v>
      </c>
      <c r="G59" s="441" t="s">
        <v>772</v>
      </c>
      <c r="H59" s="437"/>
      <c r="I59" s="437">
        <v>0</v>
      </c>
      <c r="J59" s="437"/>
      <c r="K59" s="437"/>
      <c r="L59" s="457">
        <f t="shared" si="42"/>
        <v>0</v>
      </c>
      <c r="M59" s="437"/>
      <c r="N59" s="437">
        <f t="shared" si="46"/>
        <v>0</v>
      </c>
      <c r="O59" s="437">
        <f t="shared" si="47"/>
        <v>0</v>
      </c>
      <c r="P59" s="437">
        <f t="shared" si="48"/>
        <v>0</v>
      </c>
      <c r="Q59" s="464"/>
      <c r="R59" s="464"/>
      <c r="S59" s="465"/>
      <c r="T59" s="465"/>
      <c r="U59" s="463">
        <f t="shared" si="4"/>
        <v>0</v>
      </c>
      <c r="V59" s="464">
        <f t="shared" si="5"/>
        <v>0</v>
      </c>
    </row>
    <row r="60" s="197" customFormat="1" ht="18" customHeight="1" spans="1:22">
      <c r="A60" s="436" t="s">
        <v>803</v>
      </c>
      <c r="B60" s="432"/>
      <c r="C60" s="437"/>
      <c r="D60" s="437"/>
      <c r="E60" s="437"/>
      <c r="F60" s="433">
        <f t="shared" si="45"/>
        <v>0</v>
      </c>
      <c r="G60" s="441" t="s">
        <v>804</v>
      </c>
      <c r="H60" s="437"/>
      <c r="I60" s="437">
        <v>0</v>
      </c>
      <c r="J60" s="437"/>
      <c r="K60" s="437"/>
      <c r="L60" s="457">
        <f t="shared" si="42"/>
        <v>0</v>
      </c>
      <c r="M60" s="437"/>
      <c r="N60" s="437">
        <f t="shared" si="46"/>
        <v>0</v>
      </c>
      <c r="O60" s="437">
        <f t="shared" si="47"/>
        <v>0</v>
      </c>
      <c r="P60" s="437">
        <f t="shared" si="48"/>
        <v>0</v>
      </c>
      <c r="Q60" s="464"/>
      <c r="R60" s="464"/>
      <c r="S60" s="465"/>
      <c r="T60" s="465"/>
      <c r="U60" s="463">
        <f t="shared" si="4"/>
        <v>0</v>
      </c>
      <c r="V60" s="464">
        <f t="shared" si="5"/>
        <v>0</v>
      </c>
    </row>
    <row r="61" s="197" customFormat="1" ht="18" customHeight="1" spans="1:22">
      <c r="A61" s="436" t="s">
        <v>805</v>
      </c>
      <c r="B61" s="432"/>
      <c r="C61" s="437"/>
      <c r="D61" s="437"/>
      <c r="E61" s="437"/>
      <c r="F61" s="433">
        <f t="shared" si="45"/>
        <v>0</v>
      </c>
      <c r="G61" s="451" t="s">
        <v>806</v>
      </c>
      <c r="H61" s="435">
        <v>132</v>
      </c>
      <c r="I61" s="435">
        <v>208</v>
      </c>
      <c r="J61" s="435">
        <v>269</v>
      </c>
      <c r="K61" s="435">
        <v>7</v>
      </c>
      <c r="L61" s="457">
        <f t="shared" si="42"/>
        <v>-94.7</v>
      </c>
      <c r="M61" s="435"/>
      <c r="N61" s="437"/>
      <c r="O61" s="437"/>
      <c r="P61" s="437"/>
      <c r="Q61" s="464">
        <v>208</v>
      </c>
      <c r="R61" s="464">
        <v>61</v>
      </c>
      <c r="S61" s="465"/>
      <c r="T61" s="465"/>
      <c r="U61" s="463">
        <f t="shared" si="4"/>
        <v>269</v>
      </c>
      <c r="V61" s="464">
        <f t="shared" si="5"/>
        <v>262</v>
      </c>
    </row>
    <row r="62" s="197" customFormat="1" ht="18" customHeight="1" spans="1:22">
      <c r="A62" s="431" t="s">
        <v>807</v>
      </c>
      <c r="B62" s="432"/>
      <c r="C62" s="437"/>
      <c r="D62" s="437"/>
      <c r="E62" s="437"/>
      <c r="F62" s="433">
        <f t="shared" si="45"/>
        <v>0</v>
      </c>
      <c r="G62" s="410" t="s">
        <v>808</v>
      </c>
      <c r="H62" s="435">
        <f t="shared" ref="H62:K62" si="49">SUM(H63:H67)</f>
        <v>0</v>
      </c>
      <c r="I62" s="435">
        <f t="shared" si="49"/>
        <v>0</v>
      </c>
      <c r="J62" s="435">
        <f t="shared" si="49"/>
        <v>500</v>
      </c>
      <c r="K62" s="435">
        <f t="shared" si="49"/>
        <v>0</v>
      </c>
      <c r="L62" s="457">
        <f t="shared" si="42"/>
        <v>0</v>
      </c>
      <c r="M62" s="435">
        <f t="shared" ref="M62:T62" si="50">SUM(M63:M67)</f>
        <v>0</v>
      </c>
      <c r="N62" s="435">
        <f t="shared" si="50"/>
        <v>0</v>
      </c>
      <c r="O62" s="435">
        <f t="shared" si="50"/>
        <v>0</v>
      </c>
      <c r="P62" s="435">
        <f t="shared" si="50"/>
        <v>0</v>
      </c>
      <c r="Q62" s="435">
        <f t="shared" si="50"/>
        <v>0</v>
      </c>
      <c r="R62" s="435">
        <f t="shared" si="50"/>
        <v>0</v>
      </c>
      <c r="S62" s="466">
        <f t="shared" si="50"/>
        <v>0</v>
      </c>
      <c r="T62" s="466">
        <f t="shared" si="50"/>
        <v>0</v>
      </c>
      <c r="U62" s="463">
        <f t="shared" si="4"/>
        <v>0</v>
      </c>
      <c r="V62" s="464">
        <f t="shared" si="5"/>
        <v>0</v>
      </c>
    </row>
    <row r="63" s="197" customFormat="1" ht="18" customHeight="1" spans="1:22">
      <c r="A63" s="431" t="s">
        <v>809</v>
      </c>
      <c r="B63" s="432"/>
      <c r="C63" s="437"/>
      <c r="D63" s="437"/>
      <c r="E63" s="437"/>
      <c r="F63" s="433">
        <f t="shared" si="45"/>
        <v>0</v>
      </c>
      <c r="G63" s="143" t="s">
        <v>810</v>
      </c>
      <c r="H63" s="437"/>
      <c r="I63" s="437">
        <v>0</v>
      </c>
      <c r="J63" s="437"/>
      <c r="K63" s="437"/>
      <c r="L63" s="456">
        <f t="shared" si="42"/>
        <v>0</v>
      </c>
      <c r="M63" s="437"/>
      <c r="N63" s="437">
        <f t="shared" ref="N63:N66" si="51">L63-J63</f>
        <v>0</v>
      </c>
      <c r="O63" s="437">
        <f t="shared" ref="O63:O66" si="52">L63-J63</f>
        <v>0</v>
      </c>
      <c r="P63" s="437">
        <f t="shared" ref="P63:P66" si="53">M63-K63</f>
        <v>0</v>
      </c>
      <c r="Q63" s="464"/>
      <c r="R63" s="464"/>
      <c r="S63" s="465"/>
      <c r="T63" s="465"/>
      <c r="U63" s="463">
        <f t="shared" si="4"/>
        <v>0</v>
      </c>
      <c r="V63" s="464">
        <f t="shared" si="5"/>
        <v>0</v>
      </c>
    </row>
    <row r="64" s="197" customFormat="1" ht="18" customHeight="1" spans="1:22">
      <c r="A64" s="431" t="s">
        <v>811</v>
      </c>
      <c r="B64" s="432"/>
      <c r="C64" s="437"/>
      <c r="D64" s="437"/>
      <c r="E64" s="437"/>
      <c r="F64" s="433">
        <f t="shared" si="45"/>
        <v>0</v>
      </c>
      <c r="G64" s="42" t="s">
        <v>812</v>
      </c>
      <c r="H64" s="437"/>
      <c r="I64" s="437">
        <v>0</v>
      </c>
      <c r="J64" s="437"/>
      <c r="K64" s="437"/>
      <c r="L64" s="456">
        <f t="shared" si="42"/>
        <v>0</v>
      </c>
      <c r="M64" s="437"/>
      <c r="N64" s="437">
        <f t="shared" si="51"/>
        <v>0</v>
      </c>
      <c r="O64" s="437">
        <f t="shared" si="52"/>
        <v>0</v>
      </c>
      <c r="P64" s="437">
        <f t="shared" si="53"/>
        <v>0</v>
      </c>
      <c r="Q64" s="464"/>
      <c r="R64" s="464"/>
      <c r="S64" s="465"/>
      <c r="T64" s="465"/>
      <c r="U64" s="463">
        <f t="shared" si="4"/>
        <v>0</v>
      </c>
      <c r="V64" s="464">
        <f t="shared" si="5"/>
        <v>0</v>
      </c>
    </row>
    <row r="65" s="197" customFormat="1" ht="18" customHeight="1" spans="1:22">
      <c r="A65" s="431" t="s">
        <v>813</v>
      </c>
      <c r="B65" s="432"/>
      <c r="C65" s="437"/>
      <c r="D65" s="437"/>
      <c r="E65" s="437"/>
      <c r="F65" s="433">
        <f t="shared" si="45"/>
        <v>0</v>
      </c>
      <c r="G65" s="42" t="s">
        <v>814</v>
      </c>
      <c r="H65" s="437"/>
      <c r="I65" s="437">
        <v>0</v>
      </c>
      <c r="J65" s="437"/>
      <c r="K65" s="437"/>
      <c r="L65" s="457">
        <f t="shared" si="42"/>
        <v>0</v>
      </c>
      <c r="M65" s="437"/>
      <c r="N65" s="437">
        <f t="shared" si="51"/>
        <v>0</v>
      </c>
      <c r="O65" s="437">
        <f t="shared" si="52"/>
        <v>0</v>
      </c>
      <c r="P65" s="437">
        <f t="shared" si="53"/>
        <v>0</v>
      </c>
      <c r="Q65" s="464"/>
      <c r="R65" s="464"/>
      <c r="S65" s="465"/>
      <c r="T65" s="465"/>
      <c r="U65" s="463">
        <f t="shared" si="4"/>
        <v>0</v>
      </c>
      <c r="V65" s="464">
        <f t="shared" si="5"/>
        <v>0</v>
      </c>
    </row>
    <row r="66" s="197" customFormat="1" ht="18" customHeight="1" spans="1:22">
      <c r="A66" s="431" t="s">
        <v>815</v>
      </c>
      <c r="B66" s="432"/>
      <c r="C66" s="437"/>
      <c r="D66" s="437"/>
      <c r="E66" s="437"/>
      <c r="F66" s="433">
        <f t="shared" si="45"/>
        <v>0</v>
      </c>
      <c r="G66" s="42" t="s">
        <v>816</v>
      </c>
      <c r="H66" s="437"/>
      <c r="I66" s="437">
        <v>0</v>
      </c>
      <c r="J66" s="437"/>
      <c r="K66" s="437"/>
      <c r="L66" s="457">
        <f t="shared" si="42"/>
        <v>0</v>
      </c>
      <c r="M66" s="437"/>
      <c r="N66" s="437">
        <f t="shared" si="51"/>
        <v>0</v>
      </c>
      <c r="O66" s="437">
        <f t="shared" si="52"/>
        <v>0</v>
      </c>
      <c r="P66" s="437">
        <f t="shared" si="53"/>
        <v>0</v>
      </c>
      <c r="Q66" s="464"/>
      <c r="R66" s="464"/>
      <c r="S66" s="465"/>
      <c r="T66" s="465"/>
      <c r="U66" s="463">
        <f t="shared" si="4"/>
        <v>0</v>
      </c>
      <c r="V66" s="464">
        <f t="shared" si="5"/>
        <v>0</v>
      </c>
    </row>
    <row r="67" s="197" customFormat="1" ht="18" customHeight="1" spans="1:22">
      <c r="A67" s="431" t="s">
        <v>817</v>
      </c>
      <c r="B67" s="432">
        <f>SUM(B68:B69)</f>
        <v>0</v>
      </c>
      <c r="C67" s="432">
        <f>SUM(C68:C69)</f>
        <v>0</v>
      </c>
      <c r="D67" s="432">
        <f>SUM(D68:D69)</f>
        <v>0</v>
      </c>
      <c r="E67" s="432">
        <f>SUM(E68:E69)</f>
        <v>0</v>
      </c>
      <c r="F67" s="433">
        <f t="shared" si="45"/>
        <v>0</v>
      </c>
      <c r="G67" s="42" t="s">
        <v>818</v>
      </c>
      <c r="H67" s="437"/>
      <c r="I67" s="437">
        <v>0</v>
      </c>
      <c r="J67" s="437">
        <v>500</v>
      </c>
      <c r="K67" s="437"/>
      <c r="L67" s="456">
        <f t="shared" si="42"/>
        <v>0</v>
      </c>
      <c r="M67" s="437"/>
      <c r="N67" s="437"/>
      <c r="O67" s="437"/>
      <c r="P67" s="437"/>
      <c r="Q67" s="464"/>
      <c r="R67" s="464"/>
      <c r="S67" s="465"/>
      <c r="T67" s="465"/>
      <c r="U67" s="463">
        <f t="shared" si="4"/>
        <v>0</v>
      </c>
      <c r="V67" s="464">
        <f t="shared" si="5"/>
        <v>0</v>
      </c>
    </row>
    <row r="68" s="197" customFormat="1" ht="18" customHeight="1" spans="1:22">
      <c r="A68" s="436" t="s">
        <v>819</v>
      </c>
      <c r="B68" s="432"/>
      <c r="C68" s="437"/>
      <c r="D68" s="437"/>
      <c r="E68" s="437"/>
      <c r="F68" s="433">
        <f t="shared" si="45"/>
        <v>0</v>
      </c>
      <c r="G68" s="278" t="s">
        <v>820</v>
      </c>
      <c r="H68" s="435">
        <f t="shared" ref="H68:K68" si="54">SUM(H69:H71)</f>
        <v>703</v>
      </c>
      <c r="I68" s="435">
        <f t="shared" si="54"/>
        <v>0</v>
      </c>
      <c r="J68" s="435">
        <f t="shared" si="54"/>
        <v>942</v>
      </c>
      <c r="K68" s="435">
        <f t="shared" si="54"/>
        <v>350</v>
      </c>
      <c r="L68" s="456"/>
      <c r="M68" s="435">
        <f t="shared" ref="M68:T68" si="55">SUM(M69:M71)</f>
        <v>0</v>
      </c>
      <c r="N68" s="435">
        <f t="shared" si="55"/>
        <v>0</v>
      </c>
      <c r="O68" s="435">
        <f t="shared" si="55"/>
        <v>0</v>
      </c>
      <c r="P68" s="435">
        <f t="shared" si="55"/>
        <v>0</v>
      </c>
      <c r="Q68" s="435">
        <f t="shared" si="55"/>
        <v>0</v>
      </c>
      <c r="R68" s="435">
        <f t="shared" si="55"/>
        <v>396</v>
      </c>
      <c r="S68" s="466">
        <f t="shared" si="55"/>
        <v>0</v>
      </c>
      <c r="T68" s="466">
        <f t="shared" si="55"/>
        <v>0</v>
      </c>
      <c r="U68" s="463">
        <f t="shared" si="4"/>
        <v>396</v>
      </c>
      <c r="V68" s="464">
        <f t="shared" si="5"/>
        <v>46</v>
      </c>
    </row>
    <row r="69" s="197" customFormat="1" ht="18" customHeight="1" spans="1:22">
      <c r="A69" s="436" t="s">
        <v>821</v>
      </c>
      <c r="B69" s="432"/>
      <c r="C69" s="437"/>
      <c r="D69" s="437"/>
      <c r="E69" s="437"/>
      <c r="F69" s="433">
        <f t="shared" si="45"/>
        <v>0</v>
      </c>
      <c r="G69" s="42" t="s">
        <v>822</v>
      </c>
      <c r="H69" s="437">
        <v>703</v>
      </c>
      <c r="I69" s="437">
        <v>0</v>
      </c>
      <c r="J69" s="437">
        <v>942</v>
      </c>
      <c r="K69" s="437">
        <v>350</v>
      </c>
      <c r="L69" s="457"/>
      <c r="M69" s="437"/>
      <c r="N69" s="437"/>
      <c r="O69" s="437"/>
      <c r="P69" s="437"/>
      <c r="Q69" s="464"/>
      <c r="R69" s="464">
        <v>396</v>
      </c>
      <c r="S69" s="465"/>
      <c r="T69" s="465"/>
      <c r="U69" s="463">
        <f t="shared" ref="U69:U132" si="56">SUM(M69:T69)</f>
        <v>396</v>
      </c>
      <c r="V69" s="464">
        <f t="shared" ref="V69:V132" si="57">U69-K69</f>
        <v>46</v>
      </c>
    </row>
    <row r="70" s="197" customFormat="1" ht="18" customHeight="1" spans="1:22">
      <c r="A70" s="431" t="s">
        <v>823</v>
      </c>
      <c r="B70" s="432"/>
      <c r="C70" s="437"/>
      <c r="D70" s="437"/>
      <c r="E70" s="437"/>
      <c r="F70" s="433">
        <f t="shared" si="45"/>
        <v>0</v>
      </c>
      <c r="G70" s="42" t="s">
        <v>824</v>
      </c>
      <c r="H70" s="437"/>
      <c r="I70" s="437">
        <v>0</v>
      </c>
      <c r="J70" s="437"/>
      <c r="K70" s="437"/>
      <c r="L70" s="457"/>
      <c r="M70" s="437"/>
      <c r="N70" s="437">
        <f t="shared" ref="N70:N75" si="58">L70-J70</f>
        <v>0</v>
      </c>
      <c r="O70" s="437">
        <f t="shared" ref="O70:O75" si="59">L70-J70</f>
        <v>0</v>
      </c>
      <c r="P70" s="437">
        <f t="shared" ref="P70:P75" si="60">M70-K70</f>
        <v>0</v>
      </c>
      <c r="Q70" s="464"/>
      <c r="R70" s="464"/>
      <c r="S70" s="465"/>
      <c r="T70" s="465"/>
      <c r="U70" s="463">
        <f t="shared" si="56"/>
        <v>0</v>
      </c>
      <c r="V70" s="464">
        <f t="shared" si="57"/>
        <v>0</v>
      </c>
    </row>
    <row r="71" s="197" customFormat="1" ht="18" customHeight="1" spans="1:22">
      <c r="A71" s="431" t="s">
        <v>825</v>
      </c>
      <c r="B71" s="432">
        <f>SUM(B72:B73)</f>
        <v>504</v>
      </c>
      <c r="C71" s="432">
        <f>SUM(C72:C73)</f>
        <v>0</v>
      </c>
      <c r="D71" s="432">
        <f>SUM(D72:D73)</f>
        <v>74</v>
      </c>
      <c r="E71" s="432">
        <f>SUM(E72:E73)</f>
        <v>148</v>
      </c>
      <c r="F71" s="433">
        <f t="shared" si="45"/>
        <v>-70.63</v>
      </c>
      <c r="G71" s="42" t="s">
        <v>826</v>
      </c>
      <c r="H71" s="437"/>
      <c r="I71" s="437">
        <v>0</v>
      </c>
      <c r="J71" s="437"/>
      <c r="K71" s="437"/>
      <c r="L71" s="457"/>
      <c r="M71" s="437"/>
      <c r="N71" s="437">
        <f t="shared" si="58"/>
        <v>0</v>
      </c>
      <c r="O71" s="437">
        <f t="shared" si="59"/>
        <v>0</v>
      </c>
      <c r="P71" s="437">
        <f t="shared" si="60"/>
        <v>0</v>
      </c>
      <c r="Q71" s="464"/>
      <c r="R71" s="464"/>
      <c r="S71" s="465"/>
      <c r="T71" s="465"/>
      <c r="U71" s="463">
        <f t="shared" si="56"/>
        <v>0</v>
      </c>
      <c r="V71" s="464">
        <f t="shared" si="57"/>
        <v>0</v>
      </c>
    </row>
    <row r="72" s="197" customFormat="1" ht="18" customHeight="1" spans="1:22">
      <c r="A72" s="436" t="s">
        <v>827</v>
      </c>
      <c r="B72" s="432">
        <v>504</v>
      </c>
      <c r="C72" s="437"/>
      <c r="D72" s="437">
        <v>74</v>
      </c>
      <c r="E72" s="437">
        <v>148</v>
      </c>
      <c r="F72" s="433">
        <f t="shared" si="45"/>
        <v>-70.63</v>
      </c>
      <c r="G72" s="278" t="s">
        <v>828</v>
      </c>
      <c r="H72" s="435">
        <f t="shared" ref="H72:K72" si="61">SUM(H73:H75)</f>
        <v>0</v>
      </c>
      <c r="I72" s="435">
        <f t="shared" si="61"/>
        <v>0</v>
      </c>
      <c r="J72" s="435">
        <f t="shared" si="61"/>
        <v>0</v>
      </c>
      <c r="K72" s="435">
        <f t="shared" si="61"/>
        <v>0</v>
      </c>
      <c r="L72" s="456">
        <f t="shared" ref="L72:L90" si="62">IF(H72=0,0,SUM(K72/H72-1)*100)</f>
        <v>0</v>
      </c>
      <c r="M72" s="435">
        <f t="shared" ref="M72:T72" si="63">SUM(M73:M75)</f>
        <v>0</v>
      </c>
      <c r="N72" s="435">
        <f t="shared" si="63"/>
        <v>0</v>
      </c>
      <c r="O72" s="435">
        <f t="shared" si="63"/>
        <v>0</v>
      </c>
      <c r="P72" s="435">
        <f t="shared" si="63"/>
        <v>0</v>
      </c>
      <c r="Q72" s="435">
        <f t="shared" si="63"/>
        <v>0</v>
      </c>
      <c r="R72" s="435">
        <f t="shared" si="63"/>
        <v>0</v>
      </c>
      <c r="S72" s="466">
        <f t="shared" si="63"/>
        <v>0</v>
      </c>
      <c r="T72" s="466">
        <f t="shared" si="63"/>
        <v>0</v>
      </c>
      <c r="U72" s="463">
        <f t="shared" si="56"/>
        <v>0</v>
      </c>
      <c r="V72" s="464">
        <f t="shared" si="57"/>
        <v>0</v>
      </c>
    </row>
    <row r="73" s="197" customFormat="1" ht="18" customHeight="1" spans="1:22">
      <c r="A73" s="436" t="s">
        <v>829</v>
      </c>
      <c r="B73" s="432"/>
      <c r="C73" s="435"/>
      <c r="D73" s="435"/>
      <c r="E73" s="435"/>
      <c r="F73" s="433">
        <f t="shared" si="45"/>
        <v>0</v>
      </c>
      <c r="G73" s="42" t="s">
        <v>770</v>
      </c>
      <c r="H73" s="437"/>
      <c r="I73" s="437">
        <v>0</v>
      </c>
      <c r="J73" s="437"/>
      <c r="K73" s="437"/>
      <c r="L73" s="456">
        <f t="shared" si="62"/>
        <v>0</v>
      </c>
      <c r="M73" s="437"/>
      <c r="N73" s="437">
        <f t="shared" si="58"/>
        <v>0</v>
      </c>
      <c r="O73" s="437">
        <f t="shared" si="59"/>
        <v>0</v>
      </c>
      <c r="P73" s="437">
        <f t="shared" si="60"/>
        <v>0</v>
      </c>
      <c r="Q73" s="464"/>
      <c r="R73" s="464"/>
      <c r="S73" s="465"/>
      <c r="T73" s="465"/>
      <c r="U73" s="463">
        <f t="shared" si="56"/>
        <v>0</v>
      </c>
      <c r="V73" s="464">
        <f t="shared" si="57"/>
        <v>0</v>
      </c>
    </row>
    <row r="74" s="197" customFormat="1" ht="18" customHeight="1" spans="1:22">
      <c r="A74" s="471"/>
      <c r="B74" s="472"/>
      <c r="C74" s="473"/>
      <c r="D74" s="473"/>
      <c r="E74" s="473"/>
      <c r="F74" s="457">
        <f t="shared" si="45"/>
        <v>0</v>
      </c>
      <c r="G74" s="42" t="s">
        <v>772</v>
      </c>
      <c r="H74" s="437"/>
      <c r="I74" s="437">
        <v>0</v>
      </c>
      <c r="J74" s="437"/>
      <c r="K74" s="437"/>
      <c r="L74" s="457">
        <f t="shared" si="62"/>
        <v>0</v>
      </c>
      <c r="M74" s="437"/>
      <c r="N74" s="437">
        <f t="shared" si="58"/>
        <v>0</v>
      </c>
      <c r="O74" s="437">
        <f t="shared" si="59"/>
        <v>0</v>
      </c>
      <c r="P74" s="437">
        <f t="shared" si="60"/>
        <v>0</v>
      </c>
      <c r="Q74" s="464"/>
      <c r="R74" s="464"/>
      <c r="S74" s="465"/>
      <c r="T74" s="465"/>
      <c r="U74" s="463">
        <f t="shared" si="56"/>
        <v>0</v>
      </c>
      <c r="V74" s="464">
        <f t="shared" si="57"/>
        <v>0</v>
      </c>
    </row>
    <row r="75" s="197" customFormat="1" ht="18" customHeight="1" spans="1:22">
      <c r="A75" s="471"/>
      <c r="B75" s="472"/>
      <c r="C75" s="473"/>
      <c r="D75" s="473"/>
      <c r="E75" s="473"/>
      <c r="F75" s="457">
        <f t="shared" si="45"/>
        <v>0</v>
      </c>
      <c r="G75" s="42" t="s">
        <v>830</v>
      </c>
      <c r="H75" s="437"/>
      <c r="I75" s="437">
        <v>0</v>
      </c>
      <c r="J75" s="437"/>
      <c r="K75" s="437"/>
      <c r="L75" s="457">
        <f t="shared" si="62"/>
        <v>0</v>
      </c>
      <c r="M75" s="437"/>
      <c r="N75" s="437">
        <f t="shared" si="58"/>
        <v>0</v>
      </c>
      <c r="O75" s="437">
        <f t="shared" si="59"/>
        <v>0</v>
      </c>
      <c r="P75" s="437">
        <f t="shared" si="60"/>
        <v>0</v>
      </c>
      <c r="Q75" s="464"/>
      <c r="R75" s="464"/>
      <c r="S75" s="465"/>
      <c r="T75" s="465"/>
      <c r="U75" s="463">
        <f t="shared" si="56"/>
        <v>0</v>
      </c>
      <c r="V75" s="464">
        <f t="shared" si="57"/>
        <v>0</v>
      </c>
    </row>
    <row r="76" s="197" customFormat="1" ht="18" customHeight="1" spans="1:22">
      <c r="A76" s="471"/>
      <c r="B76" s="472"/>
      <c r="C76" s="473"/>
      <c r="D76" s="473"/>
      <c r="E76" s="473"/>
      <c r="F76" s="457">
        <f t="shared" si="45"/>
        <v>0</v>
      </c>
      <c r="G76" s="278" t="s">
        <v>831</v>
      </c>
      <c r="H76" s="435">
        <f t="shared" ref="H76:K76" si="64">SUM(H77:H79)</f>
        <v>0</v>
      </c>
      <c r="I76" s="435">
        <f t="shared" si="64"/>
        <v>0</v>
      </c>
      <c r="J76" s="435">
        <f t="shared" si="64"/>
        <v>0</v>
      </c>
      <c r="K76" s="435">
        <f t="shared" si="64"/>
        <v>0</v>
      </c>
      <c r="L76" s="457">
        <f t="shared" si="62"/>
        <v>0</v>
      </c>
      <c r="M76" s="435">
        <f t="shared" ref="M76:T76" si="65">SUM(M77:M79)</f>
        <v>0</v>
      </c>
      <c r="N76" s="435">
        <f t="shared" si="65"/>
        <v>0</v>
      </c>
      <c r="O76" s="435">
        <f t="shared" si="65"/>
        <v>0</v>
      </c>
      <c r="P76" s="435">
        <f t="shared" si="65"/>
        <v>0</v>
      </c>
      <c r="Q76" s="435">
        <f t="shared" si="65"/>
        <v>0</v>
      </c>
      <c r="R76" s="435">
        <f t="shared" si="65"/>
        <v>0</v>
      </c>
      <c r="S76" s="466">
        <f t="shared" si="65"/>
        <v>0</v>
      </c>
      <c r="T76" s="466">
        <f t="shared" si="65"/>
        <v>0</v>
      </c>
      <c r="U76" s="463">
        <f t="shared" si="56"/>
        <v>0</v>
      </c>
      <c r="V76" s="464">
        <f t="shared" si="57"/>
        <v>0</v>
      </c>
    </row>
    <row r="77" s="197" customFormat="1" ht="18" customHeight="1" spans="1:22">
      <c r="A77" s="471"/>
      <c r="B77" s="472"/>
      <c r="C77" s="473"/>
      <c r="D77" s="473"/>
      <c r="E77" s="473"/>
      <c r="F77" s="457">
        <f t="shared" si="45"/>
        <v>0</v>
      </c>
      <c r="G77" s="42" t="s">
        <v>770</v>
      </c>
      <c r="H77" s="437"/>
      <c r="I77" s="437">
        <v>0</v>
      </c>
      <c r="J77" s="437"/>
      <c r="K77" s="437"/>
      <c r="L77" s="456">
        <f t="shared" si="62"/>
        <v>0</v>
      </c>
      <c r="M77" s="437"/>
      <c r="N77" s="437">
        <f t="shared" ref="N77:N79" si="66">L77-J77</f>
        <v>0</v>
      </c>
      <c r="O77" s="437">
        <f t="shared" ref="O77:O79" si="67">L77-J77</f>
        <v>0</v>
      </c>
      <c r="P77" s="437">
        <f t="shared" ref="P77:P79" si="68">M77-K77</f>
        <v>0</v>
      </c>
      <c r="Q77" s="464"/>
      <c r="R77" s="464"/>
      <c r="S77" s="465"/>
      <c r="T77" s="465"/>
      <c r="U77" s="463">
        <f t="shared" si="56"/>
        <v>0</v>
      </c>
      <c r="V77" s="464">
        <f t="shared" si="57"/>
        <v>0</v>
      </c>
    </row>
    <row r="78" s="197" customFormat="1" ht="18" customHeight="1" spans="1:22">
      <c r="A78" s="471"/>
      <c r="B78" s="472"/>
      <c r="C78" s="473"/>
      <c r="D78" s="473"/>
      <c r="E78" s="473"/>
      <c r="F78" s="457">
        <f t="shared" si="45"/>
        <v>0</v>
      </c>
      <c r="G78" s="42" t="s">
        <v>772</v>
      </c>
      <c r="H78" s="437"/>
      <c r="I78" s="437">
        <v>0</v>
      </c>
      <c r="J78" s="437"/>
      <c r="K78" s="437"/>
      <c r="L78" s="457">
        <f t="shared" si="62"/>
        <v>0</v>
      </c>
      <c r="M78" s="437"/>
      <c r="N78" s="437">
        <f t="shared" si="66"/>
        <v>0</v>
      </c>
      <c r="O78" s="437">
        <f t="shared" si="67"/>
        <v>0</v>
      </c>
      <c r="P78" s="437">
        <f t="shared" si="68"/>
        <v>0</v>
      </c>
      <c r="Q78" s="464"/>
      <c r="R78" s="464"/>
      <c r="S78" s="465"/>
      <c r="T78" s="465"/>
      <c r="U78" s="463">
        <f t="shared" si="56"/>
        <v>0</v>
      </c>
      <c r="V78" s="464">
        <f t="shared" si="57"/>
        <v>0</v>
      </c>
    </row>
    <row r="79" s="197" customFormat="1" ht="18" customHeight="1" spans="1:22">
      <c r="A79" s="471"/>
      <c r="B79" s="472"/>
      <c r="C79" s="473"/>
      <c r="D79" s="473"/>
      <c r="E79" s="473"/>
      <c r="F79" s="457">
        <f t="shared" si="45"/>
        <v>0</v>
      </c>
      <c r="G79" s="474" t="s">
        <v>832</v>
      </c>
      <c r="H79" s="437"/>
      <c r="I79" s="437">
        <v>0</v>
      </c>
      <c r="J79" s="476"/>
      <c r="K79" s="476"/>
      <c r="L79" s="457">
        <f t="shared" si="62"/>
        <v>0</v>
      </c>
      <c r="M79" s="437"/>
      <c r="N79" s="437">
        <f t="shared" si="66"/>
        <v>0</v>
      </c>
      <c r="O79" s="437">
        <f t="shared" si="67"/>
        <v>0</v>
      </c>
      <c r="P79" s="437">
        <f t="shared" si="68"/>
        <v>0</v>
      </c>
      <c r="Q79" s="464"/>
      <c r="R79" s="464"/>
      <c r="S79" s="465"/>
      <c r="T79" s="465"/>
      <c r="U79" s="463">
        <f t="shared" si="56"/>
        <v>0</v>
      </c>
      <c r="V79" s="464">
        <f t="shared" si="57"/>
        <v>0</v>
      </c>
    </row>
    <row r="80" s="197" customFormat="1" ht="18" customHeight="1" spans="1:22">
      <c r="A80" s="471"/>
      <c r="B80" s="472"/>
      <c r="C80" s="473"/>
      <c r="D80" s="473"/>
      <c r="E80" s="473"/>
      <c r="F80" s="457">
        <f t="shared" si="45"/>
        <v>0</v>
      </c>
      <c r="G80" s="475" t="s">
        <v>833</v>
      </c>
      <c r="H80" s="443">
        <f t="shared" ref="H80:K80" si="69">SUM(H81:H85)</f>
        <v>0</v>
      </c>
      <c r="I80" s="443">
        <f t="shared" si="69"/>
        <v>0</v>
      </c>
      <c r="J80" s="443">
        <f t="shared" si="69"/>
        <v>0</v>
      </c>
      <c r="K80" s="443">
        <f t="shared" si="69"/>
        <v>0</v>
      </c>
      <c r="L80" s="457">
        <f t="shared" si="62"/>
        <v>0</v>
      </c>
      <c r="M80" s="443">
        <f t="shared" ref="M80:T80" si="70">SUM(M81:M85)</f>
        <v>0</v>
      </c>
      <c r="N80" s="443">
        <f t="shared" si="70"/>
        <v>0</v>
      </c>
      <c r="O80" s="443">
        <f t="shared" si="70"/>
        <v>0</v>
      </c>
      <c r="P80" s="443">
        <f t="shared" si="70"/>
        <v>0</v>
      </c>
      <c r="Q80" s="443">
        <f t="shared" si="70"/>
        <v>0</v>
      </c>
      <c r="R80" s="443">
        <f t="shared" si="70"/>
        <v>0</v>
      </c>
      <c r="S80" s="467">
        <f t="shared" si="70"/>
        <v>0</v>
      </c>
      <c r="T80" s="467">
        <f t="shared" si="70"/>
        <v>0</v>
      </c>
      <c r="U80" s="463">
        <f t="shared" si="56"/>
        <v>0</v>
      </c>
      <c r="V80" s="464">
        <f t="shared" si="57"/>
        <v>0</v>
      </c>
    </row>
    <row r="81" s="197" customFormat="1" ht="18" customHeight="1" spans="1:22">
      <c r="A81" s="471"/>
      <c r="B81" s="472"/>
      <c r="C81" s="473"/>
      <c r="D81" s="473"/>
      <c r="E81" s="473"/>
      <c r="F81" s="457">
        <f t="shared" si="45"/>
        <v>0</v>
      </c>
      <c r="G81" s="474" t="s">
        <v>810</v>
      </c>
      <c r="H81" s="100"/>
      <c r="I81" s="437">
        <v>0</v>
      </c>
      <c r="J81" s="437"/>
      <c r="K81" s="437"/>
      <c r="L81" s="456">
        <f t="shared" si="62"/>
        <v>0</v>
      </c>
      <c r="M81" s="437"/>
      <c r="N81" s="437">
        <f t="shared" ref="N81:N85" si="71">L81-J81</f>
        <v>0</v>
      </c>
      <c r="O81" s="437">
        <f t="shared" ref="O81:O85" si="72">L81-J81</f>
        <v>0</v>
      </c>
      <c r="P81" s="437">
        <f t="shared" ref="P81:P85" si="73">M81-K81</f>
        <v>0</v>
      </c>
      <c r="Q81" s="464"/>
      <c r="R81" s="464"/>
      <c r="S81" s="465"/>
      <c r="T81" s="465"/>
      <c r="U81" s="463">
        <f t="shared" si="56"/>
        <v>0</v>
      </c>
      <c r="V81" s="464">
        <f t="shared" si="57"/>
        <v>0</v>
      </c>
    </row>
    <row r="82" s="197" customFormat="1" ht="18" customHeight="1" spans="1:22">
      <c r="A82" s="471"/>
      <c r="B82" s="472"/>
      <c r="C82" s="473"/>
      <c r="D82" s="473"/>
      <c r="E82" s="473"/>
      <c r="F82" s="457">
        <f t="shared" si="45"/>
        <v>0</v>
      </c>
      <c r="G82" s="474" t="s">
        <v>812</v>
      </c>
      <c r="H82" s="100"/>
      <c r="I82" s="437">
        <v>0</v>
      </c>
      <c r="J82" s="437"/>
      <c r="K82" s="437"/>
      <c r="L82" s="456">
        <f t="shared" si="62"/>
        <v>0</v>
      </c>
      <c r="M82" s="437"/>
      <c r="N82" s="437">
        <f t="shared" si="71"/>
        <v>0</v>
      </c>
      <c r="O82" s="437">
        <f t="shared" si="72"/>
        <v>0</v>
      </c>
      <c r="P82" s="437">
        <f t="shared" si="73"/>
        <v>0</v>
      </c>
      <c r="Q82" s="464"/>
      <c r="R82" s="464"/>
      <c r="S82" s="465"/>
      <c r="T82" s="465"/>
      <c r="U82" s="463">
        <f t="shared" si="56"/>
        <v>0</v>
      </c>
      <c r="V82" s="464">
        <f t="shared" si="57"/>
        <v>0</v>
      </c>
    </row>
    <row r="83" s="197" customFormat="1" ht="18" customHeight="1" spans="1:22">
      <c r="A83" s="471"/>
      <c r="B83" s="472"/>
      <c r="C83" s="473"/>
      <c r="D83" s="473"/>
      <c r="E83" s="473"/>
      <c r="F83" s="457">
        <f t="shared" si="45"/>
        <v>0</v>
      </c>
      <c r="G83" s="474" t="s">
        <v>814</v>
      </c>
      <c r="H83" s="100"/>
      <c r="I83" s="437">
        <v>0</v>
      </c>
      <c r="J83" s="437"/>
      <c r="K83" s="437"/>
      <c r="L83" s="457">
        <f t="shared" si="62"/>
        <v>0</v>
      </c>
      <c r="M83" s="437"/>
      <c r="N83" s="437">
        <f t="shared" si="71"/>
        <v>0</v>
      </c>
      <c r="O83" s="437">
        <f t="shared" si="72"/>
        <v>0</v>
      </c>
      <c r="P83" s="437">
        <f t="shared" si="73"/>
        <v>0</v>
      </c>
      <c r="Q83" s="464"/>
      <c r="R83" s="464"/>
      <c r="S83" s="465"/>
      <c r="T83" s="465"/>
      <c r="U83" s="463">
        <f t="shared" si="56"/>
        <v>0</v>
      </c>
      <c r="V83" s="464">
        <f t="shared" si="57"/>
        <v>0</v>
      </c>
    </row>
    <row r="84" s="197" customFormat="1" ht="18" customHeight="1" spans="1:22">
      <c r="A84" s="471"/>
      <c r="B84" s="472"/>
      <c r="C84" s="473"/>
      <c r="D84" s="473"/>
      <c r="E84" s="473"/>
      <c r="F84" s="457">
        <f t="shared" si="45"/>
        <v>0</v>
      </c>
      <c r="G84" s="122" t="s">
        <v>816</v>
      </c>
      <c r="H84" s="437"/>
      <c r="I84" s="437">
        <v>0</v>
      </c>
      <c r="J84" s="437"/>
      <c r="K84" s="437"/>
      <c r="L84" s="456">
        <f t="shared" si="62"/>
        <v>0</v>
      </c>
      <c r="M84" s="437"/>
      <c r="N84" s="437">
        <f t="shared" si="71"/>
        <v>0</v>
      </c>
      <c r="O84" s="437">
        <f t="shared" si="72"/>
        <v>0</v>
      </c>
      <c r="P84" s="437">
        <f t="shared" si="73"/>
        <v>0</v>
      </c>
      <c r="Q84" s="464"/>
      <c r="R84" s="464"/>
      <c r="S84" s="465"/>
      <c r="T84" s="465"/>
      <c r="U84" s="463">
        <f t="shared" si="56"/>
        <v>0</v>
      </c>
      <c r="V84" s="464">
        <f t="shared" si="57"/>
        <v>0</v>
      </c>
    </row>
    <row r="85" s="197" customFormat="1" ht="18" customHeight="1" spans="1:22">
      <c r="A85" s="471"/>
      <c r="B85" s="472"/>
      <c r="C85" s="473"/>
      <c r="D85" s="473"/>
      <c r="E85" s="473"/>
      <c r="F85" s="457">
        <f t="shared" si="45"/>
        <v>0</v>
      </c>
      <c r="G85" s="42" t="s">
        <v>834</v>
      </c>
      <c r="H85" s="437"/>
      <c r="I85" s="437">
        <v>0</v>
      </c>
      <c r="J85" s="437"/>
      <c r="K85" s="437"/>
      <c r="L85" s="457">
        <f t="shared" si="62"/>
        <v>0</v>
      </c>
      <c r="M85" s="437"/>
      <c r="N85" s="437">
        <f t="shared" si="71"/>
        <v>0</v>
      </c>
      <c r="O85" s="437">
        <f t="shared" si="72"/>
        <v>0</v>
      </c>
      <c r="P85" s="437">
        <f t="shared" si="73"/>
        <v>0</v>
      </c>
      <c r="Q85" s="464"/>
      <c r="R85" s="464"/>
      <c r="S85" s="465"/>
      <c r="T85" s="465"/>
      <c r="U85" s="463">
        <f t="shared" si="56"/>
        <v>0</v>
      </c>
      <c r="V85" s="464">
        <f t="shared" si="57"/>
        <v>0</v>
      </c>
    </row>
    <row r="86" s="197" customFormat="1" ht="18" customHeight="1" spans="1:22">
      <c r="A86" s="471"/>
      <c r="B86" s="472"/>
      <c r="C86" s="473"/>
      <c r="D86" s="473"/>
      <c r="E86" s="473"/>
      <c r="F86" s="457">
        <f t="shared" si="45"/>
        <v>0</v>
      </c>
      <c r="G86" s="278" t="s">
        <v>835</v>
      </c>
      <c r="H86" s="435">
        <f t="shared" ref="H86:K86" si="74">SUM(H87:H88)</f>
        <v>0</v>
      </c>
      <c r="I86" s="435">
        <f t="shared" si="74"/>
        <v>0</v>
      </c>
      <c r="J86" s="435">
        <f t="shared" si="74"/>
        <v>0</v>
      </c>
      <c r="K86" s="435">
        <f t="shared" si="74"/>
        <v>0</v>
      </c>
      <c r="L86" s="457">
        <f t="shared" si="62"/>
        <v>0</v>
      </c>
      <c r="M86" s="435">
        <f t="shared" ref="M86:T86" si="75">SUM(M87:M88)</f>
        <v>0</v>
      </c>
      <c r="N86" s="435">
        <f t="shared" si="75"/>
        <v>0</v>
      </c>
      <c r="O86" s="435">
        <f t="shared" si="75"/>
        <v>0</v>
      </c>
      <c r="P86" s="435">
        <f t="shared" si="75"/>
        <v>0</v>
      </c>
      <c r="Q86" s="435">
        <f t="shared" si="75"/>
        <v>0</v>
      </c>
      <c r="R86" s="435">
        <f t="shared" si="75"/>
        <v>0</v>
      </c>
      <c r="S86" s="466">
        <f t="shared" si="75"/>
        <v>0</v>
      </c>
      <c r="T86" s="466">
        <f t="shared" si="75"/>
        <v>0</v>
      </c>
      <c r="U86" s="463">
        <f t="shared" si="56"/>
        <v>0</v>
      </c>
      <c r="V86" s="464">
        <f t="shared" si="57"/>
        <v>0</v>
      </c>
    </row>
    <row r="87" s="197" customFormat="1" ht="18" customHeight="1" spans="1:22">
      <c r="A87" s="471"/>
      <c r="B87" s="472"/>
      <c r="C87" s="473"/>
      <c r="D87" s="473"/>
      <c r="E87" s="473"/>
      <c r="F87" s="457">
        <f t="shared" si="45"/>
        <v>0</v>
      </c>
      <c r="G87" s="42" t="s">
        <v>822</v>
      </c>
      <c r="H87" s="437"/>
      <c r="I87" s="437">
        <v>0</v>
      </c>
      <c r="J87" s="437"/>
      <c r="K87" s="437"/>
      <c r="L87" s="457">
        <f t="shared" si="62"/>
        <v>0</v>
      </c>
      <c r="M87" s="437"/>
      <c r="N87" s="437">
        <f t="shared" ref="N87:N91" si="76">L87-J87</f>
        <v>0</v>
      </c>
      <c r="O87" s="437">
        <f t="shared" ref="O87:O91" si="77">L87-J87</f>
        <v>0</v>
      </c>
      <c r="P87" s="437">
        <f t="shared" ref="P87:P91" si="78">M87-K87</f>
        <v>0</v>
      </c>
      <c r="Q87" s="464"/>
      <c r="R87" s="464"/>
      <c r="S87" s="465"/>
      <c r="T87" s="465"/>
      <c r="U87" s="463">
        <f t="shared" si="56"/>
        <v>0</v>
      </c>
      <c r="V87" s="464">
        <f t="shared" si="57"/>
        <v>0</v>
      </c>
    </row>
    <row r="88" s="197" customFormat="1" ht="18" customHeight="1" spans="1:22">
      <c r="A88" s="471"/>
      <c r="B88" s="472"/>
      <c r="C88" s="473"/>
      <c r="D88" s="473"/>
      <c r="E88" s="473"/>
      <c r="F88" s="457">
        <f t="shared" si="45"/>
        <v>0</v>
      </c>
      <c r="G88" s="42" t="s">
        <v>836</v>
      </c>
      <c r="H88" s="437"/>
      <c r="I88" s="437">
        <v>0</v>
      </c>
      <c r="J88" s="437"/>
      <c r="K88" s="437"/>
      <c r="L88" s="456">
        <f t="shared" si="62"/>
        <v>0</v>
      </c>
      <c r="M88" s="437"/>
      <c r="N88" s="437">
        <f t="shared" si="76"/>
        <v>0</v>
      </c>
      <c r="O88" s="437">
        <f t="shared" si="77"/>
        <v>0</v>
      </c>
      <c r="P88" s="437">
        <f t="shared" si="78"/>
        <v>0</v>
      </c>
      <c r="Q88" s="464"/>
      <c r="R88" s="464"/>
      <c r="S88" s="465"/>
      <c r="T88" s="465"/>
      <c r="U88" s="463">
        <f t="shared" si="56"/>
        <v>0</v>
      </c>
      <c r="V88" s="464">
        <f t="shared" si="57"/>
        <v>0</v>
      </c>
    </row>
    <row r="89" s="197" customFormat="1" ht="18" customHeight="1" spans="1:22">
      <c r="A89" s="471"/>
      <c r="B89" s="472"/>
      <c r="C89" s="473"/>
      <c r="D89" s="473"/>
      <c r="E89" s="473"/>
      <c r="F89" s="457">
        <f t="shared" si="45"/>
        <v>0</v>
      </c>
      <c r="G89" s="278" t="s">
        <v>837</v>
      </c>
      <c r="H89" s="435">
        <f t="shared" ref="H89:K89" si="79">SUM(H90:H97)</f>
        <v>4012</v>
      </c>
      <c r="I89" s="435">
        <f t="shared" si="79"/>
        <v>422</v>
      </c>
      <c r="J89" s="435">
        <f t="shared" si="79"/>
        <v>7661</v>
      </c>
      <c r="K89" s="435">
        <f t="shared" si="79"/>
        <v>9246</v>
      </c>
      <c r="L89" s="457">
        <f t="shared" si="62"/>
        <v>130.46</v>
      </c>
      <c r="M89" s="435">
        <f t="shared" ref="M89:T89" si="80">SUM(M90:M97)</f>
        <v>0</v>
      </c>
      <c r="N89" s="435">
        <f t="shared" si="80"/>
        <v>0</v>
      </c>
      <c r="O89" s="435">
        <f t="shared" si="80"/>
        <v>0</v>
      </c>
      <c r="P89" s="435">
        <f t="shared" si="80"/>
        <v>0</v>
      </c>
      <c r="Q89" s="435">
        <f t="shared" si="80"/>
        <v>422</v>
      </c>
      <c r="R89" s="435">
        <f t="shared" si="80"/>
        <v>239</v>
      </c>
      <c r="S89" s="466">
        <f t="shared" si="80"/>
        <v>10526</v>
      </c>
      <c r="T89" s="466">
        <f t="shared" si="80"/>
        <v>0</v>
      </c>
      <c r="U89" s="463">
        <f t="shared" si="56"/>
        <v>11187</v>
      </c>
      <c r="V89" s="464">
        <f t="shared" si="57"/>
        <v>1941</v>
      </c>
    </row>
    <row r="90" s="197" customFormat="1" ht="18" customHeight="1" spans="1:22">
      <c r="A90" s="471"/>
      <c r="B90" s="472"/>
      <c r="C90" s="473"/>
      <c r="D90" s="473"/>
      <c r="E90" s="473"/>
      <c r="F90" s="457">
        <f t="shared" si="45"/>
        <v>0</v>
      </c>
      <c r="G90" s="42" t="s">
        <v>770</v>
      </c>
      <c r="H90" s="437"/>
      <c r="I90" s="437">
        <v>0</v>
      </c>
      <c r="J90" s="437"/>
      <c r="K90" s="437"/>
      <c r="L90" s="457">
        <f t="shared" si="62"/>
        <v>0</v>
      </c>
      <c r="M90" s="437"/>
      <c r="N90" s="437">
        <f t="shared" si="76"/>
        <v>0</v>
      </c>
      <c r="O90" s="437">
        <f t="shared" si="77"/>
        <v>0</v>
      </c>
      <c r="P90" s="437">
        <f t="shared" si="78"/>
        <v>0</v>
      </c>
      <c r="Q90" s="464"/>
      <c r="R90" s="464"/>
      <c r="S90" s="465"/>
      <c r="T90" s="465"/>
      <c r="U90" s="463">
        <f t="shared" si="56"/>
        <v>0</v>
      </c>
      <c r="V90" s="464">
        <f t="shared" si="57"/>
        <v>0</v>
      </c>
    </row>
    <row r="91" s="197" customFormat="1" ht="18" customHeight="1" spans="1:22">
      <c r="A91" s="471"/>
      <c r="B91" s="472"/>
      <c r="C91" s="473"/>
      <c r="D91" s="473"/>
      <c r="E91" s="473"/>
      <c r="F91" s="457"/>
      <c r="G91" s="42" t="s">
        <v>772</v>
      </c>
      <c r="H91" s="437"/>
      <c r="I91" s="437">
        <v>0</v>
      </c>
      <c r="J91" s="437"/>
      <c r="K91" s="437"/>
      <c r="L91" s="457"/>
      <c r="M91" s="437"/>
      <c r="N91" s="437">
        <f t="shared" si="76"/>
        <v>0</v>
      </c>
      <c r="O91" s="437">
        <f t="shared" si="77"/>
        <v>0</v>
      </c>
      <c r="P91" s="437">
        <f t="shared" si="78"/>
        <v>0</v>
      </c>
      <c r="Q91" s="464"/>
      <c r="R91" s="464"/>
      <c r="S91" s="465"/>
      <c r="T91" s="465"/>
      <c r="U91" s="463">
        <f t="shared" si="56"/>
        <v>0</v>
      </c>
      <c r="V91" s="464">
        <f t="shared" si="57"/>
        <v>0</v>
      </c>
    </row>
    <row r="92" s="197" customFormat="1" ht="18" customHeight="1" spans="1:22">
      <c r="A92" s="471"/>
      <c r="B92" s="472"/>
      <c r="C92" s="473"/>
      <c r="D92" s="473"/>
      <c r="E92" s="473"/>
      <c r="F92" s="457"/>
      <c r="G92" s="42" t="s">
        <v>774</v>
      </c>
      <c r="H92" s="437"/>
      <c r="I92" s="437">
        <v>0</v>
      </c>
      <c r="J92" s="437">
        <v>6561</v>
      </c>
      <c r="K92" s="437">
        <v>6561</v>
      </c>
      <c r="L92" s="457"/>
      <c r="M92" s="437"/>
      <c r="N92" s="437"/>
      <c r="O92" s="437"/>
      <c r="P92" s="437"/>
      <c r="Q92" s="464"/>
      <c r="R92" s="464"/>
      <c r="S92" s="465">
        <v>8888</v>
      </c>
      <c r="T92" s="465">
        <v>-386</v>
      </c>
      <c r="U92" s="463">
        <f t="shared" si="56"/>
        <v>8502</v>
      </c>
      <c r="V92" s="464">
        <f t="shared" si="57"/>
        <v>1941</v>
      </c>
    </row>
    <row r="93" s="197" customFormat="1" ht="18" customHeight="1" spans="1:22">
      <c r="A93" s="471"/>
      <c r="B93" s="472"/>
      <c r="C93" s="473"/>
      <c r="D93" s="473"/>
      <c r="E93" s="473"/>
      <c r="F93" s="457"/>
      <c r="G93" s="42" t="s">
        <v>776</v>
      </c>
      <c r="H93" s="437"/>
      <c r="I93" s="437">
        <v>0</v>
      </c>
      <c r="J93" s="437"/>
      <c r="K93" s="437"/>
      <c r="L93" s="457"/>
      <c r="M93" s="437"/>
      <c r="N93" s="437">
        <f t="shared" ref="N93:N96" si="81">L93-J93</f>
        <v>0</v>
      </c>
      <c r="O93" s="437">
        <f t="shared" ref="O93:O96" si="82">L93-J93</f>
        <v>0</v>
      </c>
      <c r="P93" s="437">
        <f t="shared" ref="P93:P96" si="83">M93-K93</f>
        <v>0</v>
      </c>
      <c r="Q93" s="464"/>
      <c r="R93" s="464"/>
      <c r="S93" s="465"/>
      <c r="T93" s="465"/>
      <c r="U93" s="463">
        <f t="shared" si="56"/>
        <v>0</v>
      </c>
      <c r="V93" s="464">
        <f t="shared" si="57"/>
        <v>0</v>
      </c>
    </row>
    <row r="94" s="197" customFormat="1" ht="18" customHeight="1" spans="1:22">
      <c r="A94" s="471"/>
      <c r="B94" s="472"/>
      <c r="C94" s="473"/>
      <c r="D94" s="473"/>
      <c r="E94" s="473"/>
      <c r="F94" s="457">
        <f t="shared" ref="F94:F139" si="84">IF(B94=0,0,SUM(E94/B94-1)*100)</f>
        <v>0</v>
      </c>
      <c r="G94" s="42" t="s">
        <v>782</v>
      </c>
      <c r="H94" s="437"/>
      <c r="I94" s="437">
        <v>0</v>
      </c>
      <c r="J94" s="437"/>
      <c r="K94" s="437"/>
      <c r="L94" s="457">
        <f t="shared" ref="L94:L139" si="85">IF(H94=0,0,SUM(K94/H94-1)*100)</f>
        <v>0</v>
      </c>
      <c r="M94" s="437"/>
      <c r="N94" s="437">
        <f t="shared" si="81"/>
        <v>0</v>
      </c>
      <c r="O94" s="437">
        <f t="shared" si="82"/>
        <v>0</v>
      </c>
      <c r="P94" s="437">
        <f t="shared" si="83"/>
        <v>0</v>
      </c>
      <c r="Q94" s="464"/>
      <c r="R94" s="464"/>
      <c r="S94" s="465"/>
      <c r="T94" s="465"/>
      <c r="U94" s="463">
        <f t="shared" si="56"/>
        <v>0</v>
      </c>
      <c r="V94" s="464">
        <f t="shared" si="57"/>
        <v>0</v>
      </c>
    </row>
    <row r="95" s="197" customFormat="1" ht="18" customHeight="1" spans="1:22">
      <c r="A95" s="471"/>
      <c r="B95" s="472"/>
      <c r="C95" s="473"/>
      <c r="D95" s="473"/>
      <c r="E95" s="473"/>
      <c r="F95" s="457">
        <f t="shared" si="84"/>
        <v>0</v>
      </c>
      <c r="G95" s="42" t="s">
        <v>786</v>
      </c>
      <c r="H95" s="437"/>
      <c r="I95" s="437">
        <v>0</v>
      </c>
      <c r="J95" s="437"/>
      <c r="K95" s="437"/>
      <c r="L95" s="457">
        <f t="shared" si="85"/>
        <v>0</v>
      </c>
      <c r="M95" s="437"/>
      <c r="N95" s="437">
        <f t="shared" si="81"/>
        <v>0</v>
      </c>
      <c r="O95" s="437">
        <f t="shared" si="82"/>
        <v>0</v>
      </c>
      <c r="P95" s="437">
        <f t="shared" si="83"/>
        <v>0</v>
      </c>
      <c r="Q95" s="464"/>
      <c r="R95" s="464"/>
      <c r="S95" s="465"/>
      <c r="T95" s="465"/>
      <c r="U95" s="463">
        <f t="shared" si="56"/>
        <v>0</v>
      </c>
      <c r="V95" s="464">
        <f t="shared" si="57"/>
        <v>0</v>
      </c>
    </row>
    <row r="96" s="197" customFormat="1" ht="18" customHeight="1" spans="1:22">
      <c r="A96" s="471"/>
      <c r="B96" s="472"/>
      <c r="C96" s="473"/>
      <c r="D96" s="473"/>
      <c r="E96" s="473"/>
      <c r="F96" s="457">
        <f t="shared" si="84"/>
        <v>0</v>
      </c>
      <c r="G96" s="42" t="s">
        <v>788</v>
      </c>
      <c r="H96" s="437"/>
      <c r="I96" s="437">
        <v>0</v>
      </c>
      <c r="J96" s="437"/>
      <c r="K96" s="437"/>
      <c r="L96" s="456">
        <f t="shared" si="85"/>
        <v>0</v>
      </c>
      <c r="M96" s="437"/>
      <c r="N96" s="437">
        <f t="shared" si="81"/>
        <v>0</v>
      </c>
      <c r="O96" s="437">
        <f t="shared" si="82"/>
        <v>0</v>
      </c>
      <c r="P96" s="437">
        <f t="shared" si="83"/>
        <v>0</v>
      </c>
      <c r="Q96" s="464"/>
      <c r="R96" s="464"/>
      <c r="S96" s="465"/>
      <c r="T96" s="465"/>
      <c r="U96" s="463">
        <f t="shared" si="56"/>
        <v>0</v>
      </c>
      <c r="V96" s="464">
        <f t="shared" si="57"/>
        <v>0</v>
      </c>
    </row>
    <row r="97" s="197" customFormat="1" ht="18" customHeight="1" spans="1:22">
      <c r="A97" s="471"/>
      <c r="B97" s="472"/>
      <c r="C97" s="473"/>
      <c r="D97" s="473"/>
      <c r="E97" s="473"/>
      <c r="F97" s="457">
        <f t="shared" si="84"/>
        <v>0</v>
      </c>
      <c r="G97" s="42" t="s">
        <v>838</v>
      </c>
      <c r="H97" s="437">
        <v>4012</v>
      </c>
      <c r="I97" s="437">
        <v>422</v>
      </c>
      <c r="J97" s="437">
        <f>1100</f>
        <v>1100</v>
      </c>
      <c r="K97" s="437">
        <v>2685</v>
      </c>
      <c r="L97" s="457">
        <f t="shared" si="85"/>
        <v>-33.08</v>
      </c>
      <c r="M97" s="437"/>
      <c r="N97" s="437"/>
      <c r="O97" s="437"/>
      <c r="P97" s="437"/>
      <c r="Q97" s="464">
        <v>422</v>
      </c>
      <c r="R97" s="464">
        <v>239</v>
      </c>
      <c r="S97" s="465">
        <v>1638</v>
      </c>
      <c r="T97" s="465">
        <v>386</v>
      </c>
      <c r="U97" s="463">
        <f t="shared" si="56"/>
        <v>2685</v>
      </c>
      <c r="V97" s="464">
        <f t="shared" si="57"/>
        <v>0</v>
      </c>
    </row>
    <row r="98" s="197" customFormat="1" ht="18" customHeight="1" spans="1:22">
      <c r="A98" s="471"/>
      <c r="B98" s="472"/>
      <c r="C98" s="473"/>
      <c r="D98" s="473"/>
      <c r="E98" s="473"/>
      <c r="F98" s="457">
        <f t="shared" si="84"/>
        <v>0</v>
      </c>
      <c r="G98" s="410" t="s">
        <v>839</v>
      </c>
      <c r="H98" s="435">
        <f t="shared" ref="H98:K98" si="86">H99+H104+H109+H114+H117+H122+H126+H130</f>
        <v>917</v>
      </c>
      <c r="I98" s="435">
        <f t="shared" si="86"/>
        <v>6851</v>
      </c>
      <c r="J98" s="435">
        <f t="shared" si="86"/>
        <v>8037</v>
      </c>
      <c r="K98" s="435">
        <f t="shared" si="86"/>
        <v>972</v>
      </c>
      <c r="L98" s="457">
        <f t="shared" si="85"/>
        <v>6</v>
      </c>
      <c r="M98" s="435">
        <f t="shared" ref="M98:T98" si="87">M99+M104+M109+M114+M117+M122+M126+M130</f>
        <v>0</v>
      </c>
      <c r="N98" s="435">
        <f t="shared" si="87"/>
        <v>0</v>
      </c>
      <c r="O98" s="435">
        <f t="shared" si="87"/>
        <v>1090</v>
      </c>
      <c r="P98" s="435">
        <f t="shared" si="87"/>
        <v>424</v>
      </c>
      <c r="Q98" s="435">
        <f t="shared" si="87"/>
        <v>5761</v>
      </c>
      <c r="R98" s="435">
        <f t="shared" si="87"/>
        <v>974</v>
      </c>
      <c r="S98" s="466">
        <f t="shared" si="87"/>
        <v>0</v>
      </c>
      <c r="T98" s="466">
        <f t="shared" si="87"/>
        <v>0</v>
      </c>
      <c r="U98" s="463">
        <f t="shared" si="56"/>
        <v>8249</v>
      </c>
      <c r="V98" s="464">
        <f t="shared" si="57"/>
        <v>7277</v>
      </c>
    </row>
    <row r="99" s="197" customFormat="1" ht="18" customHeight="1" spans="1:22">
      <c r="A99" s="471"/>
      <c r="B99" s="472"/>
      <c r="C99" s="473"/>
      <c r="D99" s="473"/>
      <c r="E99" s="473"/>
      <c r="F99" s="457">
        <f t="shared" si="84"/>
        <v>0</v>
      </c>
      <c r="G99" s="411" t="s">
        <v>840</v>
      </c>
      <c r="H99" s="435">
        <f t="shared" ref="H99:K99" si="88">SUM(H100:H103)</f>
        <v>21</v>
      </c>
      <c r="I99" s="435">
        <f t="shared" si="88"/>
        <v>620</v>
      </c>
      <c r="J99" s="435">
        <f t="shared" si="88"/>
        <v>1137</v>
      </c>
      <c r="K99" s="435">
        <f t="shared" si="88"/>
        <v>121</v>
      </c>
      <c r="L99" s="457">
        <f t="shared" si="85"/>
        <v>476.19</v>
      </c>
      <c r="M99" s="435">
        <f t="shared" ref="M99:T99" si="89">SUM(M100:M103)</f>
        <v>0</v>
      </c>
      <c r="N99" s="435">
        <f t="shared" si="89"/>
        <v>0</v>
      </c>
      <c r="O99" s="435">
        <f t="shared" si="89"/>
        <v>0</v>
      </c>
      <c r="P99" s="435">
        <f t="shared" si="89"/>
        <v>75</v>
      </c>
      <c r="Q99" s="435">
        <f t="shared" si="89"/>
        <v>620</v>
      </c>
      <c r="R99" s="435">
        <f t="shared" si="89"/>
        <v>517</v>
      </c>
      <c r="S99" s="466">
        <f t="shared" si="89"/>
        <v>0</v>
      </c>
      <c r="T99" s="466">
        <f t="shared" si="89"/>
        <v>0</v>
      </c>
      <c r="U99" s="463">
        <f t="shared" si="56"/>
        <v>1212</v>
      </c>
      <c r="V99" s="464">
        <f t="shared" si="57"/>
        <v>1091</v>
      </c>
    </row>
    <row r="100" s="197" customFormat="1" ht="18" customHeight="1" spans="1:22">
      <c r="A100" s="471"/>
      <c r="B100" s="472"/>
      <c r="C100" s="473"/>
      <c r="D100" s="473"/>
      <c r="E100" s="473"/>
      <c r="F100" s="457">
        <f t="shared" si="84"/>
        <v>0</v>
      </c>
      <c r="G100" s="42" t="s">
        <v>841</v>
      </c>
      <c r="H100" s="437">
        <v>20</v>
      </c>
      <c r="I100" s="437">
        <v>616</v>
      </c>
      <c r="J100" s="437">
        <v>1137</v>
      </c>
      <c r="K100" s="437">
        <v>121</v>
      </c>
      <c r="L100" s="457">
        <f t="shared" si="85"/>
        <v>505</v>
      </c>
      <c r="M100" s="437"/>
      <c r="N100" s="437"/>
      <c r="O100" s="437"/>
      <c r="P100" s="437">
        <v>75</v>
      </c>
      <c r="Q100" s="464">
        <v>616</v>
      </c>
      <c r="R100" s="464">
        <v>517</v>
      </c>
      <c r="S100" s="465"/>
      <c r="T100" s="465"/>
      <c r="U100" s="463">
        <f t="shared" si="56"/>
        <v>1208</v>
      </c>
      <c r="V100" s="464">
        <f t="shared" si="57"/>
        <v>1087</v>
      </c>
    </row>
    <row r="101" s="197" customFormat="1" ht="18" customHeight="1" spans="1:22">
      <c r="A101" s="471"/>
      <c r="B101" s="472"/>
      <c r="C101" s="473"/>
      <c r="D101" s="473"/>
      <c r="E101" s="473"/>
      <c r="F101" s="457">
        <f t="shared" si="84"/>
        <v>0</v>
      </c>
      <c r="G101" s="42" t="s">
        <v>842</v>
      </c>
      <c r="H101" s="437"/>
      <c r="I101" s="437">
        <v>0</v>
      </c>
      <c r="J101" s="437"/>
      <c r="K101" s="437"/>
      <c r="L101" s="456">
        <f t="shared" si="85"/>
        <v>0</v>
      </c>
      <c r="M101" s="437"/>
      <c r="N101" s="437">
        <f t="shared" ref="N101:N108" si="90">L101-J101</f>
        <v>0</v>
      </c>
      <c r="O101" s="437">
        <f t="shared" ref="O101:O108" si="91">L101-J101</f>
        <v>0</v>
      </c>
      <c r="P101" s="437">
        <f t="shared" ref="P101:P103" si="92">M101-K101</f>
        <v>0</v>
      </c>
      <c r="Q101" s="464"/>
      <c r="R101" s="464"/>
      <c r="S101" s="465"/>
      <c r="T101" s="465"/>
      <c r="U101" s="463">
        <f t="shared" si="56"/>
        <v>0</v>
      </c>
      <c r="V101" s="464">
        <f t="shared" si="57"/>
        <v>0</v>
      </c>
    </row>
    <row r="102" s="197" customFormat="1" ht="18" customHeight="1" spans="1:22">
      <c r="A102" s="471"/>
      <c r="B102" s="472"/>
      <c r="C102" s="473"/>
      <c r="D102" s="473"/>
      <c r="E102" s="473"/>
      <c r="F102" s="457">
        <f t="shared" si="84"/>
        <v>0</v>
      </c>
      <c r="G102" s="42" t="s">
        <v>843</v>
      </c>
      <c r="H102" s="437"/>
      <c r="I102" s="437">
        <v>0</v>
      </c>
      <c r="J102" s="437"/>
      <c r="K102" s="437"/>
      <c r="L102" s="457">
        <f t="shared" si="85"/>
        <v>0</v>
      </c>
      <c r="M102" s="437"/>
      <c r="N102" s="437">
        <f t="shared" si="90"/>
        <v>0</v>
      </c>
      <c r="O102" s="437">
        <f t="shared" si="91"/>
        <v>0</v>
      </c>
      <c r="P102" s="437">
        <f t="shared" si="92"/>
        <v>0</v>
      </c>
      <c r="Q102" s="464"/>
      <c r="R102" s="464"/>
      <c r="S102" s="465"/>
      <c r="T102" s="465"/>
      <c r="U102" s="463">
        <f t="shared" si="56"/>
        <v>0</v>
      </c>
      <c r="V102" s="464">
        <f t="shared" si="57"/>
        <v>0</v>
      </c>
    </row>
    <row r="103" s="197" customFormat="1" ht="18" customHeight="1" spans="1:22">
      <c r="A103" s="471"/>
      <c r="B103" s="472"/>
      <c r="C103" s="473"/>
      <c r="D103" s="473"/>
      <c r="E103" s="473"/>
      <c r="F103" s="457">
        <f t="shared" si="84"/>
        <v>0</v>
      </c>
      <c r="G103" s="42" t="s">
        <v>844</v>
      </c>
      <c r="H103" s="437">
        <v>1</v>
      </c>
      <c r="I103" s="437">
        <v>4</v>
      </c>
      <c r="J103" s="437"/>
      <c r="K103" s="437"/>
      <c r="L103" s="457">
        <f t="shared" si="85"/>
        <v>-100</v>
      </c>
      <c r="M103" s="437"/>
      <c r="N103" s="437"/>
      <c r="O103" s="437"/>
      <c r="P103" s="437">
        <f t="shared" si="92"/>
        <v>0</v>
      </c>
      <c r="Q103" s="464">
        <v>4</v>
      </c>
      <c r="R103" s="464"/>
      <c r="S103" s="465"/>
      <c r="T103" s="465"/>
      <c r="U103" s="463">
        <f t="shared" si="56"/>
        <v>4</v>
      </c>
      <c r="V103" s="464">
        <f t="shared" si="57"/>
        <v>4</v>
      </c>
    </row>
    <row r="104" s="197" customFormat="1" ht="18" customHeight="1" spans="1:22">
      <c r="A104" s="471"/>
      <c r="B104" s="472"/>
      <c r="C104" s="473"/>
      <c r="D104" s="473"/>
      <c r="E104" s="473"/>
      <c r="F104" s="457">
        <f t="shared" si="84"/>
        <v>0</v>
      </c>
      <c r="G104" s="278" t="s">
        <v>845</v>
      </c>
      <c r="H104" s="435">
        <f t="shared" ref="H104:K104" si="93">SUM(H105:H108)</f>
        <v>0</v>
      </c>
      <c r="I104" s="435">
        <f t="shared" si="93"/>
        <v>0</v>
      </c>
      <c r="J104" s="435">
        <f t="shared" si="93"/>
        <v>0</v>
      </c>
      <c r="K104" s="435">
        <f t="shared" si="93"/>
        <v>0</v>
      </c>
      <c r="L104" s="456">
        <f t="shared" si="85"/>
        <v>0</v>
      </c>
      <c r="M104" s="435">
        <f t="shared" ref="M104:T104" si="94">SUM(M105:M108)</f>
        <v>0</v>
      </c>
      <c r="N104" s="435">
        <f t="shared" si="94"/>
        <v>0</v>
      </c>
      <c r="O104" s="435">
        <f t="shared" si="94"/>
        <v>0</v>
      </c>
      <c r="P104" s="435">
        <f t="shared" si="94"/>
        <v>0</v>
      </c>
      <c r="Q104" s="435">
        <f t="shared" si="94"/>
        <v>0</v>
      </c>
      <c r="R104" s="435">
        <f t="shared" si="94"/>
        <v>0</v>
      </c>
      <c r="S104" s="466">
        <f t="shared" si="94"/>
        <v>0</v>
      </c>
      <c r="T104" s="466">
        <f t="shared" si="94"/>
        <v>0</v>
      </c>
      <c r="U104" s="463">
        <f t="shared" si="56"/>
        <v>0</v>
      </c>
      <c r="V104" s="464">
        <f t="shared" si="57"/>
        <v>0</v>
      </c>
    </row>
    <row r="105" s="197" customFormat="1" ht="18" customHeight="1" spans="1:22">
      <c r="A105" s="471"/>
      <c r="B105" s="472"/>
      <c r="C105" s="473"/>
      <c r="D105" s="473"/>
      <c r="E105" s="473"/>
      <c r="F105" s="457">
        <f t="shared" si="84"/>
        <v>0</v>
      </c>
      <c r="G105" s="42" t="s">
        <v>841</v>
      </c>
      <c r="H105" s="437"/>
      <c r="I105" s="437">
        <v>0</v>
      </c>
      <c r="J105" s="437"/>
      <c r="K105" s="437"/>
      <c r="L105" s="457">
        <f t="shared" si="85"/>
        <v>0</v>
      </c>
      <c r="M105" s="437"/>
      <c r="N105" s="437">
        <f t="shared" si="90"/>
        <v>0</v>
      </c>
      <c r="O105" s="437">
        <f t="shared" si="91"/>
        <v>0</v>
      </c>
      <c r="P105" s="437">
        <f t="shared" ref="P105:P108" si="95">M105-K105</f>
        <v>0</v>
      </c>
      <c r="Q105" s="464"/>
      <c r="R105" s="464"/>
      <c r="S105" s="465"/>
      <c r="T105" s="465"/>
      <c r="U105" s="463">
        <f t="shared" si="56"/>
        <v>0</v>
      </c>
      <c r="V105" s="464">
        <f t="shared" si="57"/>
        <v>0</v>
      </c>
    </row>
    <row r="106" s="197" customFormat="1" ht="18" customHeight="1" spans="1:22">
      <c r="A106" s="471"/>
      <c r="B106" s="472"/>
      <c r="C106" s="473"/>
      <c r="D106" s="473"/>
      <c r="E106" s="473"/>
      <c r="F106" s="457">
        <f t="shared" si="84"/>
        <v>0</v>
      </c>
      <c r="G106" s="42" t="s">
        <v>842</v>
      </c>
      <c r="H106" s="437"/>
      <c r="I106" s="437">
        <v>0</v>
      </c>
      <c r="J106" s="437"/>
      <c r="K106" s="437"/>
      <c r="L106" s="457">
        <f t="shared" si="85"/>
        <v>0</v>
      </c>
      <c r="M106" s="437"/>
      <c r="N106" s="437">
        <f t="shared" si="90"/>
        <v>0</v>
      </c>
      <c r="O106" s="437">
        <f t="shared" si="91"/>
        <v>0</v>
      </c>
      <c r="P106" s="437">
        <f t="shared" si="95"/>
        <v>0</v>
      </c>
      <c r="Q106" s="464"/>
      <c r="R106" s="464"/>
      <c r="S106" s="465"/>
      <c r="T106" s="465"/>
      <c r="U106" s="463">
        <f t="shared" si="56"/>
        <v>0</v>
      </c>
      <c r="V106" s="464">
        <f t="shared" si="57"/>
        <v>0</v>
      </c>
    </row>
    <row r="107" s="197" customFormat="1" ht="18" customHeight="1" spans="1:22">
      <c r="A107" s="471"/>
      <c r="B107" s="472"/>
      <c r="C107" s="473"/>
      <c r="D107" s="473"/>
      <c r="E107" s="473"/>
      <c r="F107" s="457">
        <f t="shared" si="84"/>
        <v>0</v>
      </c>
      <c r="G107" s="42" t="s">
        <v>846</v>
      </c>
      <c r="H107" s="437"/>
      <c r="I107" s="437">
        <v>0</v>
      </c>
      <c r="J107" s="437"/>
      <c r="K107" s="437"/>
      <c r="L107" s="457">
        <f t="shared" si="85"/>
        <v>0</v>
      </c>
      <c r="M107" s="437"/>
      <c r="N107" s="437">
        <f t="shared" si="90"/>
        <v>0</v>
      </c>
      <c r="O107" s="437">
        <f t="shared" si="91"/>
        <v>0</v>
      </c>
      <c r="P107" s="437">
        <f t="shared" si="95"/>
        <v>0</v>
      </c>
      <c r="Q107" s="464"/>
      <c r="R107" s="464"/>
      <c r="S107" s="465"/>
      <c r="T107" s="465"/>
      <c r="U107" s="463">
        <f t="shared" si="56"/>
        <v>0</v>
      </c>
      <c r="V107" s="464">
        <f t="shared" si="57"/>
        <v>0</v>
      </c>
    </row>
    <row r="108" s="197" customFormat="1" ht="18" customHeight="1" spans="1:22">
      <c r="A108" s="471"/>
      <c r="B108" s="472"/>
      <c r="C108" s="473"/>
      <c r="D108" s="473"/>
      <c r="E108" s="473"/>
      <c r="F108" s="457">
        <f t="shared" si="84"/>
        <v>0</v>
      </c>
      <c r="G108" s="42" t="s">
        <v>847</v>
      </c>
      <c r="H108" s="437"/>
      <c r="I108" s="437">
        <v>0</v>
      </c>
      <c r="J108" s="437"/>
      <c r="K108" s="437"/>
      <c r="L108" s="457">
        <f t="shared" si="85"/>
        <v>0</v>
      </c>
      <c r="M108" s="437"/>
      <c r="N108" s="437">
        <f t="shared" si="90"/>
        <v>0</v>
      </c>
      <c r="O108" s="437">
        <f t="shared" si="91"/>
        <v>0</v>
      </c>
      <c r="P108" s="437">
        <f t="shared" si="95"/>
        <v>0</v>
      </c>
      <c r="Q108" s="464"/>
      <c r="R108" s="464"/>
      <c r="S108" s="465"/>
      <c r="T108" s="465"/>
      <c r="U108" s="463">
        <f t="shared" si="56"/>
        <v>0</v>
      </c>
      <c r="V108" s="464">
        <f t="shared" si="57"/>
        <v>0</v>
      </c>
    </row>
    <row r="109" s="197" customFormat="1" ht="18" customHeight="1" spans="1:22">
      <c r="A109" s="471"/>
      <c r="B109" s="472"/>
      <c r="C109" s="473"/>
      <c r="D109" s="473"/>
      <c r="E109" s="473"/>
      <c r="F109" s="457">
        <f t="shared" si="84"/>
        <v>0</v>
      </c>
      <c r="G109" s="278" t="s">
        <v>848</v>
      </c>
      <c r="H109" s="435">
        <f t="shared" ref="H109:K109" si="96">SUM(H110:H113)</f>
        <v>10</v>
      </c>
      <c r="I109" s="435">
        <f t="shared" si="96"/>
        <v>235</v>
      </c>
      <c r="J109" s="435">
        <f t="shared" si="96"/>
        <v>241</v>
      </c>
      <c r="K109" s="435">
        <f t="shared" si="96"/>
        <v>7</v>
      </c>
      <c r="L109" s="456">
        <f t="shared" si="85"/>
        <v>-30</v>
      </c>
      <c r="M109" s="435">
        <f t="shared" ref="M109:T109" si="97">SUM(M110:M113)</f>
        <v>0</v>
      </c>
      <c r="N109" s="435">
        <f t="shared" si="97"/>
        <v>0</v>
      </c>
      <c r="O109" s="435">
        <f t="shared" si="97"/>
        <v>0</v>
      </c>
      <c r="P109" s="435">
        <f t="shared" si="97"/>
        <v>0</v>
      </c>
      <c r="Q109" s="435">
        <f t="shared" si="97"/>
        <v>235</v>
      </c>
      <c r="R109" s="435">
        <f t="shared" si="97"/>
        <v>6</v>
      </c>
      <c r="S109" s="466">
        <f t="shared" si="97"/>
        <v>0</v>
      </c>
      <c r="T109" s="466">
        <f t="shared" si="97"/>
        <v>0</v>
      </c>
      <c r="U109" s="463">
        <f t="shared" si="56"/>
        <v>241</v>
      </c>
      <c r="V109" s="464">
        <f t="shared" si="57"/>
        <v>234</v>
      </c>
    </row>
    <row r="110" s="197" customFormat="1" ht="18" customHeight="1" spans="1:22">
      <c r="A110" s="471"/>
      <c r="B110" s="472"/>
      <c r="C110" s="473"/>
      <c r="D110" s="473"/>
      <c r="E110" s="473"/>
      <c r="F110" s="457">
        <f t="shared" si="84"/>
        <v>0</v>
      </c>
      <c r="G110" s="42" t="s">
        <v>849</v>
      </c>
      <c r="H110" s="437"/>
      <c r="I110" s="437">
        <v>0</v>
      </c>
      <c r="J110" s="437"/>
      <c r="K110" s="437"/>
      <c r="L110" s="457">
        <f t="shared" si="85"/>
        <v>0</v>
      </c>
      <c r="M110" s="437"/>
      <c r="N110" s="437">
        <f t="shared" ref="N110:N113" si="98">L110-J110</f>
        <v>0</v>
      </c>
      <c r="O110" s="437">
        <f t="shared" ref="O110:O113" si="99">L110-J110</f>
        <v>0</v>
      </c>
      <c r="P110" s="437">
        <f t="shared" ref="P110:P113" si="100">M110-K110</f>
        <v>0</v>
      </c>
      <c r="Q110" s="464"/>
      <c r="R110" s="464"/>
      <c r="S110" s="465"/>
      <c r="T110" s="465"/>
      <c r="U110" s="463">
        <f t="shared" si="56"/>
        <v>0</v>
      </c>
      <c r="V110" s="464">
        <f t="shared" si="57"/>
        <v>0</v>
      </c>
    </row>
    <row r="111" s="197" customFormat="1" ht="18" customHeight="1" spans="1:22">
      <c r="A111" s="471"/>
      <c r="B111" s="472"/>
      <c r="C111" s="473"/>
      <c r="D111" s="473"/>
      <c r="E111" s="473"/>
      <c r="F111" s="457">
        <f t="shared" si="84"/>
        <v>0</v>
      </c>
      <c r="G111" s="42" t="s">
        <v>850</v>
      </c>
      <c r="H111" s="437"/>
      <c r="I111" s="437">
        <v>0</v>
      </c>
      <c r="J111" s="437"/>
      <c r="K111" s="437"/>
      <c r="L111" s="457">
        <f t="shared" si="85"/>
        <v>0</v>
      </c>
      <c r="M111" s="437"/>
      <c r="N111" s="437">
        <f t="shared" si="98"/>
        <v>0</v>
      </c>
      <c r="O111" s="437">
        <f t="shared" si="99"/>
        <v>0</v>
      </c>
      <c r="P111" s="437">
        <f t="shared" si="100"/>
        <v>0</v>
      </c>
      <c r="Q111" s="464"/>
      <c r="R111" s="464"/>
      <c r="S111" s="465"/>
      <c r="T111" s="465"/>
      <c r="U111" s="463">
        <f t="shared" si="56"/>
        <v>0</v>
      </c>
      <c r="V111" s="464">
        <f t="shared" si="57"/>
        <v>0</v>
      </c>
    </row>
    <row r="112" s="197" customFormat="1" ht="18" customHeight="1" spans="1:22">
      <c r="A112" s="471"/>
      <c r="B112" s="472"/>
      <c r="C112" s="473"/>
      <c r="D112" s="473"/>
      <c r="E112" s="473"/>
      <c r="F112" s="457">
        <f t="shared" si="84"/>
        <v>0</v>
      </c>
      <c r="G112" s="42" t="s">
        <v>851</v>
      </c>
      <c r="H112" s="437">
        <v>10</v>
      </c>
      <c r="I112" s="437">
        <v>235</v>
      </c>
      <c r="J112" s="437">
        <v>241</v>
      </c>
      <c r="K112" s="437">
        <v>7</v>
      </c>
      <c r="L112" s="457">
        <f t="shared" si="85"/>
        <v>-30</v>
      </c>
      <c r="M112" s="437"/>
      <c r="N112" s="437"/>
      <c r="O112" s="437"/>
      <c r="P112" s="437"/>
      <c r="Q112" s="464">
        <v>235</v>
      </c>
      <c r="R112" s="464">
        <v>6</v>
      </c>
      <c r="S112" s="465"/>
      <c r="T112" s="465"/>
      <c r="U112" s="463">
        <f t="shared" si="56"/>
        <v>241</v>
      </c>
      <c r="V112" s="464">
        <f t="shared" si="57"/>
        <v>234</v>
      </c>
    </row>
    <row r="113" s="197" customFormat="1" ht="18" customHeight="1" spans="1:22">
      <c r="A113" s="471"/>
      <c r="B113" s="472"/>
      <c r="C113" s="473"/>
      <c r="D113" s="473"/>
      <c r="E113" s="473"/>
      <c r="F113" s="457">
        <f t="shared" si="84"/>
        <v>0</v>
      </c>
      <c r="G113" s="42" t="s">
        <v>852</v>
      </c>
      <c r="H113" s="437"/>
      <c r="I113" s="437">
        <v>0</v>
      </c>
      <c r="J113" s="437"/>
      <c r="K113" s="437"/>
      <c r="L113" s="456">
        <f t="shared" si="85"/>
        <v>0</v>
      </c>
      <c r="M113" s="437"/>
      <c r="N113" s="437">
        <f t="shared" si="98"/>
        <v>0</v>
      </c>
      <c r="O113" s="437">
        <f t="shared" si="99"/>
        <v>0</v>
      </c>
      <c r="P113" s="437">
        <f t="shared" si="100"/>
        <v>0</v>
      </c>
      <c r="Q113" s="464"/>
      <c r="R113" s="464"/>
      <c r="S113" s="465"/>
      <c r="T113" s="465"/>
      <c r="U113" s="463">
        <f t="shared" si="56"/>
        <v>0</v>
      </c>
      <c r="V113" s="464">
        <f t="shared" si="57"/>
        <v>0</v>
      </c>
    </row>
    <row r="114" s="197" customFormat="1" ht="18" customHeight="1" spans="1:22">
      <c r="A114" s="471"/>
      <c r="B114" s="472"/>
      <c r="C114" s="473"/>
      <c r="D114" s="473"/>
      <c r="E114" s="473"/>
      <c r="F114" s="457">
        <f t="shared" si="84"/>
        <v>0</v>
      </c>
      <c r="G114" s="278" t="s">
        <v>853</v>
      </c>
      <c r="H114" s="446">
        <f t="shared" ref="H114:K114" si="101">SUM(H115:H116)</f>
        <v>0</v>
      </c>
      <c r="I114" s="446">
        <f t="shared" si="101"/>
        <v>0</v>
      </c>
      <c r="J114" s="446">
        <f t="shared" si="101"/>
        <v>0</v>
      </c>
      <c r="K114" s="446">
        <f t="shared" si="101"/>
        <v>0</v>
      </c>
      <c r="L114" s="456">
        <f t="shared" si="85"/>
        <v>0</v>
      </c>
      <c r="M114" s="446">
        <f t="shared" ref="M114:T114" si="102">SUM(M115:M116)</f>
        <v>0</v>
      </c>
      <c r="N114" s="446">
        <f t="shared" si="102"/>
        <v>0</v>
      </c>
      <c r="O114" s="446">
        <f t="shared" si="102"/>
        <v>0</v>
      </c>
      <c r="P114" s="446">
        <f t="shared" si="102"/>
        <v>0</v>
      </c>
      <c r="Q114" s="446">
        <f t="shared" si="102"/>
        <v>0</v>
      </c>
      <c r="R114" s="446">
        <f t="shared" si="102"/>
        <v>0</v>
      </c>
      <c r="S114" s="468">
        <f t="shared" si="102"/>
        <v>0</v>
      </c>
      <c r="T114" s="468">
        <f t="shared" si="102"/>
        <v>0</v>
      </c>
      <c r="U114" s="463">
        <f t="shared" si="56"/>
        <v>0</v>
      </c>
      <c r="V114" s="464">
        <f t="shared" si="57"/>
        <v>0</v>
      </c>
    </row>
    <row r="115" s="197" customFormat="1" ht="18" customHeight="1" spans="1:22">
      <c r="A115" s="471"/>
      <c r="B115" s="472"/>
      <c r="C115" s="473"/>
      <c r="D115" s="473"/>
      <c r="E115" s="473"/>
      <c r="F115" s="457">
        <f t="shared" si="84"/>
        <v>0</v>
      </c>
      <c r="G115" s="42" t="s">
        <v>841</v>
      </c>
      <c r="H115" s="432"/>
      <c r="I115" s="437">
        <v>0</v>
      </c>
      <c r="J115" s="437"/>
      <c r="K115" s="437"/>
      <c r="L115" s="457">
        <f t="shared" si="85"/>
        <v>0</v>
      </c>
      <c r="M115" s="437"/>
      <c r="N115" s="437">
        <f t="shared" ref="N115:N121" si="103">L115-J115</f>
        <v>0</v>
      </c>
      <c r="O115" s="437">
        <f t="shared" ref="O115:O121" si="104">L115-J115</f>
        <v>0</v>
      </c>
      <c r="P115" s="437">
        <f t="shared" ref="P115:P121" si="105">M115-K115</f>
        <v>0</v>
      </c>
      <c r="Q115" s="464"/>
      <c r="R115" s="464"/>
      <c r="S115" s="465"/>
      <c r="T115" s="465"/>
      <c r="U115" s="463">
        <f t="shared" si="56"/>
        <v>0</v>
      </c>
      <c r="V115" s="464">
        <f t="shared" si="57"/>
        <v>0</v>
      </c>
    </row>
    <row r="116" s="197" customFormat="1" ht="18" customHeight="1" spans="1:22">
      <c r="A116" s="471"/>
      <c r="B116" s="472"/>
      <c r="C116" s="473"/>
      <c r="D116" s="473"/>
      <c r="E116" s="473"/>
      <c r="F116" s="457">
        <f t="shared" si="84"/>
        <v>0</v>
      </c>
      <c r="G116" s="42" t="s">
        <v>854</v>
      </c>
      <c r="H116" s="432"/>
      <c r="I116" s="432">
        <v>0</v>
      </c>
      <c r="J116" s="432"/>
      <c r="K116" s="432"/>
      <c r="L116" s="456">
        <f t="shared" si="85"/>
        <v>0</v>
      </c>
      <c r="M116" s="432"/>
      <c r="N116" s="437">
        <f t="shared" si="103"/>
        <v>0</v>
      </c>
      <c r="O116" s="437">
        <f t="shared" si="104"/>
        <v>0</v>
      </c>
      <c r="P116" s="437">
        <f t="shared" si="105"/>
        <v>0</v>
      </c>
      <c r="Q116" s="464"/>
      <c r="R116" s="464"/>
      <c r="S116" s="465"/>
      <c r="T116" s="465"/>
      <c r="U116" s="463">
        <f t="shared" si="56"/>
        <v>0</v>
      </c>
      <c r="V116" s="464">
        <f t="shared" si="57"/>
        <v>0</v>
      </c>
    </row>
    <row r="117" s="197" customFormat="1" ht="18" customHeight="1" spans="1:22">
      <c r="A117" s="471"/>
      <c r="B117" s="472"/>
      <c r="C117" s="473"/>
      <c r="D117" s="473"/>
      <c r="E117" s="473"/>
      <c r="F117" s="457">
        <f t="shared" si="84"/>
        <v>0</v>
      </c>
      <c r="G117" s="278" t="s">
        <v>855</v>
      </c>
      <c r="H117" s="446">
        <f t="shared" ref="H117:K117" si="106">SUM(H118:H121)</f>
        <v>0</v>
      </c>
      <c r="I117" s="446">
        <f t="shared" si="106"/>
        <v>0</v>
      </c>
      <c r="J117" s="446">
        <f t="shared" si="106"/>
        <v>0</v>
      </c>
      <c r="K117" s="446">
        <f t="shared" si="106"/>
        <v>0</v>
      </c>
      <c r="L117" s="457">
        <f t="shared" si="85"/>
        <v>0</v>
      </c>
      <c r="M117" s="446">
        <f t="shared" ref="M117:T117" si="107">SUM(M118:M121)</f>
        <v>0</v>
      </c>
      <c r="N117" s="446">
        <f t="shared" si="107"/>
        <v>0</v>
      </c>
      <c r="O117" s="446">
        <f t="shared" si="107"/>
        <v>0</v>
      </c>
      <c r="P117" s="446">
        <f t="shared" si="107"/>
        <v>0</v>
      </c>
      <c r="Q117" s="446">
        <f t="shared" si="107"/>
        <v>0</v>
      </c>
      <c r="R117" s="446">
        <f t="shared" si="107"/>
        <v>0</v>
      </c>
      <c r="S117" s="468">
        <f t="shared" si="107"/>
        <v>0</v>
      </c>
      <c r="T117" s="468">
        <f t="shared" si="107"/>
        <v>0</v>
      </c>
      <c r="U117" s="463">
        <f t="shared" si="56"/>
        <v>0</v>
      </c>
      <c r="V117" s="464">
        <f t="shared" si="57"/>
        <v>0</v>
      </c>
    </row>
    <row r="118" s="197" customFormat="1" ht="18" customHeight="1" spans="1:22">
      <c r="A118" s="471"/>
      <c r="B118" s="472"/>
      <c r="C118" s="473"/>
      <c r="D118" s="473"/>
      <c r="E118" s="473"/>
      <c r="F118" s="457">
        <f t="shared" si="84"/>
        <v>0</v>
      </c>
      <c r="G118" s="42" t="s">
        <v>849</v>
      </c>
      <c r="H118" s="432"/>
      <c r="I118" s="437">
        <v>0</v>
      </c>
      <c r="J118" s="437"/>
      <c r="K118" s="437"/>
      <c r="L118" s="457">
        <f t="shared" si="85"/>
        <v>0</v>
      </c>
      <c r="M118" s="437"/>
      <c r="N118" s="437">
        <f t="shared" si="103"/>
        <v>0</v>
      </c>
      <c r="O118" s="437">
        <f t="shared" si="104"/>
        <v>0</v>
      </c>
      <c r="P118" s="437">
        <f t="shared" si="105"/>
        <v>0</v>
      </c>
      <c r="Q118" s="464"/>
      <c r="R118" s="464"/>
      <c r="S118" s="465"/>
      <c r="T118" s="465"/>
      <c r="U118" s="463">
        <f t="shared" si="56"/>
        <v>0</v>
      </c>
      <c r="V118" s="464">
        <f t="shared" si="57"/>
        <v>0</v>
      </c>
    </row>
    <row r="119" s="197" customFormat="1" ht="18" customHeight="1" spans="1:22">
      <c r="A119" s="471"/>
      <c r="B119" s="472"/>
      <c r="C119" s="473"/>
      <c r="D119" s="473"/>
      <c r="E119" s="473"/>
      <c r="F119" s="457">
        <f t="shared" si="84"/>
        <v>0</v>
      </c>
      <c r="G119" s="42" t="s">
        <v>856</v>
      </c>
      <c r="H119" s="432"/>
      <c r="I119" s="437">
        <v>0</v>
      </c>
      <c r="J119" s="437"/>
      <c r="K119" s="437"/>
      <c r="L119" s="457">
        <f t="shared" si="85"/>
        <v>0</v>
      </c>
      <c r="M119" s="437"/>
      <c r="N119" s="437">
        <f t="shared" si="103"/>
        <v>0</v>
      </c>
      <c r="O119" s="437">
        <f t="shared" si="104"/>
        <v>0</v>
      </c>
      <c r="P119" s="437">
        <f t="shared" si="105"/>
        <v>0</v>
      </c>
      <c r="Q119" s="464"/>
      <c r="R119" s="464"/>
      <c r="S119" s="465"/>
      <c r="T119" s="465"/>
      <c r="U119" s="463">
        <f t="shared" si="56"/>
        <v>0</v>
      </c>
      <c r="V119" s="464">
        <f t="shared" si="57"/>
        <v>0</v>
      </c>
    </row>
    <row r="120" s="197" customFormat="1" ht="18" customHeight="1" spans="1:22">
      <c r="A120" s="471"/>
      <c r="B120" s="472"/>
      <c r="C120" s="473"/>
      <c r="D120" s="473"/>
      <c r="E120" s="473"/>
      <c r="F120" s="457">
        <f t="shared" si="84"/>
        <v>0</v>
      </c>
      <c r="G120" s="42" t="s">
        <v>851</v>
      </c>
      <c r="H120" s="432"/>
      <c r="I120" s="437">
        <v>0</v>
      </c>
      <c r="J120" s="437"/>
      <c r="K120" s="437"/>
      <c r="L120" s="457">
        <f t="shared" si="85"/>
        <v>0</v>
      </c>
      <c r="M120" s="437"/>
      <c r="N120" s="437">
        <f t="shared" si="103"/>
        <v>0</v>
      </c>
      <c r="O120" s="437">
        <f t="shared" si="104"/>
        <v>0</v>
      </c>
      <c r="P120" s="437">
        <f t="shared" si="105"/>
        <v>0</v>
      </c>
      <c r="Q120" s="464"/>
      <c r="R120" s="464"/>
      <c r="S120" s="465"/>
      <c r="T120" s="465"/>
      <c r="U120" s="463">
        <f t="shared" si="56"/>
        <v>0</v>
      </c>
      <c r="V120" s="464">
        <f t="shared" si="57"/>
        <v>0</v>
      </c>
    </row>
    <row r="121" s="197" customFormat="1" ht="18" customHeight="1" spans="1:22">
      <c r="A121" s="471"/>
      <c r="B121" s="472"/>
      <c r="C121" s="473"/>
      <c r="D121" s="473"/>
      <c r="E121" s="473"/>
      <c r="F121" s="457">
        <f t="shared" si="84"/>
        <v>0</v>
      </c>
      <c r="G121" s="42" t="s">
        <v>857</v>
      </c>
      <c r="H121" s="432"/>
      <c r="I121" s="432">
        <v>0</v>
      </c>
      <c r="J121" s="432"/>
      <c r="K121" s="432"/>
      <c r="L121" s="457">
        <f t="shared" si="85"/>
        <v>0</v>
      </c>
      <c r="M121" s="432"/>
      <c r="N121" s="437">
        <f t="shared" si="103"/>
        <v>0</v>
      </c>
      <c r="O121" s="437">
        <f t="shared" si="104"/>
        <v>0</v>
      </c>
      <c r="P121" s="437">
        <f t="shared" si="105"/>
        <v>0</v>
      </c>
      <c r="Q121" s="464"/>
      <c r="R121" s="464"/>
      <c r="S121" s="465"/>
      <c r="T121" s="465"/>
      <c r="U121" s="463">
        <f t="shared" si="56"/>
        <v>0</v>
      </c>
      <c r="V121" s="464">
        <f t="shared" si="57"/>
        <v>0</v>
      </c>
    </row>
    <row r="122" s="197" customFormat="1" ht="18" customHeight="1" spans="1:22">
      <c r="A122" s="471"/>
      <c r="B122" s="472"/>
      <c r="C122" s="473"/>
      <c r="D122" s="473"/>
      <c r="E122" s="473"/>
      <c r="F122" s="457">
        <f t="shared" si="84"/>
        <v>0</v>
      </c>
      <c r="G122" s="278" t="s">
        <v>858</v>
      </c>
      <c r="H122" s="446">
        <f t="shared" ref="H122:K122" si="108">SUM(H123:H125)</f>
        <v>886</v>
      </c>
      <c r="I122" s="446">
        <f t="shared" si="108"/>
        <v>5915</v>
      </c>
      <c r="J122" s="446">
        <f t="shared" si="108"/>
        <v>6539</v>
      </c>
      <c r="K122" s="446">
        <f t="shared" si="108"/>
        <v>842</v>
      </c>
      <c r="L122" s="457">
        <f t="shared" si="85"/>
        <v>-4.97</v>
      </c>
      <c r="M122" s="446">
        <f t="shared" ref="M122:T122" si="109">SUM(M123:M125)</f>
        <v>0</v>
      </c>
      <c r="N122" s="446">
        <f t="shared" si="109"/>
        <v>0</v>
      </c>
      <c r="O122" s="446">
        <f t="shared" si="109"/>
        <v>1090</v>
      </c>
      <c r="P122" s="446">
        <f t="shared" si="109"/>
        <v>212</v>
      </c>
      <c r="Q122" s="446">
        <f t="shared" si="109"/>
        <v>4825</v>
      </c>
      <c r="R122" s="446">
        <f t="shared" si="109"/>
        <v>412</v>
      </c>
      <c r="S122" s="468">
        <f t="shared" si="109"/>
        <v>0</v>
      </c>
      <c r="T122" s="468">
        <f t="shared" si="109"/>
        <v>0</v>
      </c>
      <c r="U122" s="463">
        <f t="shared" si="56"/>
        <v>6539</v>
      </c>
      <c r="V122" s="464">
        <f t="shared" si="57"/>
        <v>5697</v>
      </c>
    </row>
    <row r="123" s="197" customFormat="1" ht="18" customHeight="1" spans="1:22">
      <c r="A123" s="471"/>
      <c r="B123" s="472"/>
      <c r="C123" s="473"/>
      <c r="D123" s="473"/>
      <c r="E123" s="473"/>
      <c r="F123" s="457">
        <f t="shared" si="84"/>
        <v>0</v>
      </c>
      <c r="G123" s="42" t="s">
        <v>859</v>
      </c>
      <c r="H123" s="432">
        <v>578</v>
      </c>
      <c r="I123" s="437">
        <v>722</v>
      </c>
      <c r="J123" s="437">
        <v>722</v>
      </c>
      <c r="K123" s="437">
        <v>722</v>
      </c>
      <c r="L123" s="457">
        <f t="shared" si="85"/>
        <v>24.91</v>
      </c>
      <c r="M123" s="437"/>
      <c r="N123" s="437"/>
      <c r="O123" s="437">
        <v>578</v>
      </c>
      <c r="P123" s="437"/>
      <c r="Q123" s="464">
        <v>144</v>
      </c>
      <c r="R123" s="464"/>
      <c r="S123" s="465"/>
      <c r="T123" s="465"/>
      <c r="U123" s="463">
        <f t="shared" si="56"/>
        <v>722</v>
      </c>
      <c r="V123" s="464">
        <f t="shared" si="57"/>
        <v>0</v>
      </c>
    </row>
    <row r="124" s="197" customFormat="1" ht="18" customHeight="1" spans="1:22">
      <c r="A124" s="471"/>
      <c r="B124" s="472"/>
      <c r="C124" s="473"/>
      <c r="D124" s="473"/>
      <c r="E124" s="473"/>
      <c r="F124" s="457">
        <f t="shared" si="84"/>
        <v>0</v>
      </c>
      <c r="G124" s="42" t="s">
        <v>841</v>
      </c>
      <c r="H124" s="432">
        <v>308</v>
      </c>
      <c r="I124" s="437">
        <v>5193</v>
      </c>
      <c r="J124" s="437">
        <v>5817</v>
      </c>
      <c r="K124" s="437">
        <v>120</v>
      </c>
      <c r="L124" s="457">
        <f t="shared" si="85"/>
        <v>-61.04</v>
      </c>
      <c r="M124" s="437"/>
      <c r="N124" s="437"/>
      <c r="O124" s="437">
        <v>512</v>
      </c>
      <c r="P124" s="437">
        <v>212</v>
      </c>
      <c r="Q124" s="464">
        <v>4681</v>
      </c>
      <c r="R124" s="464">
        <v>412</v>
      </c>
      <c r="S124" s="465"/>
      <c r="T124" s="465"/>
      <c r="U124" s="463">
        <f t="shared" si="56"/>
        <v>5817</v>
      </c>
      <c r="V124" s="464">
        <f t="shared" si="57"/>
        <v>5697</v>
      </c>
    </row>
    <row r="125" s="197" customFormat="1" ht="18" customHeight="1" spans="1:22">
      <c r="A125" s="471"/>
      <c r="B125" s="472"/>
      <c r="C125" s="473"/>
      <c r="D125" s="473"/>
      <c r="E125" s="473"/>
      <c r="F125" s="457">
        <f t="shared" si="84"/>
        <v>0</v>
      </c>
      <c r="G125" s="122" t="s">
        <v>860</v>
      </c>
      <c r="H125" s="432"/>
      <c r="I125" s="437">
        <v>0</v>
      </c>
      <c r="J125" s="437"/>
      <c r="K125" s="437"/>
      <c r="L125" s="457">
        <f t="shared" si="85"/>
        <v>0</v>
      </c>
      <c r="M125" s="437"/>
      <c r="N125" s="437">
        <f t="shared" ref="N125:N129" si="110">L125-J125</f>
        <v>0</v>
      </c>
      <c r="O125" s="437">
        <f t="shared" ref="O125:O129" si="111">L125-J125</f>
        <v>0</v>
      </c>
      <c r="P125" s="437">
        <f t="shared" ref="P125:P129" si="112">M125-K125</f>
        <v>0</v>
      </c>
      <c r="Q125" s="464"/>
      <c r="R125" s="464"/>
      <c r="S125" s="465"/>
      <c r="T125" s="465"/>
      <c r="U125" s="463">
        <f t="shared" si="56"/>
        <v>0</v>
      </c>
      <c r="V125" s="464">
        <f t="shared" si="57"/>
        <v>0</v>
      </c>
    </row>
    <row r="126" s="197" customFormat="1" ht="18" customHeight="1" spans="1:22">
      <c r="A126" s="471"/>
      <c r="B126" s="472"/>
      <c r="C126" s="473"/>
      <c r="D126" s="473"/>
      <c r="E126" s="473"/>
      <c r="F126" s="457">
        <f t="shared" si="84"/>
        <v>0</v>
      </c>
      <c r="G126" s="278" t="s">
        <v>861</v>
      </c>
      <c r="H126" s="446">
        <f t="shared" ref="H126:K126" si="113">SUM(H127:H129)</f>
        <v>0</v>
      </c>
      <c r="I126" s="446">
        <f t="shared" si="113"/>
        <v>81</v>
      </c>
      <c r="J126" s="446">
        <f t="shared" si="113"/>
        <v>120</v>
      </c>
      <c r="K126" s="446">
        <f t="shared" si="113"/>
        <v>2</v>
      </c>
      <c r="L126" s="457">
        <f t="shared" si="85"/>
        <v>0</v>
      </c>
      <c r="M126" s="446">
        <f t="shared" ref="M126:T126" si="114">SUM(M127:M129)</f>
        <v>0</v>
      </c>
      <c r="N126" s="446">
        <f t="shared" si="114"/>
        <v>0</v>
      </c>
      <c r="O126" s="446">
        <f t="shared" si="114"/>
        <v>0</v>
      </c>
      <c r="P126" s="446">
        <f t="shared" si="114"/>
        <v>137</v>
      </c>
      <c r="Q126" s="446">
        <f t="shared" si="114"/>
        <v>81</v>
      </c>
      <c r="R126" s="446">
        <f t="shared" si="114"/>
        <v>39</v>
      </c>
      <c r="S126" s="468">
        <f t="shared" si="114"/>
        <v>0</v>
      </c>
      <c r="T126" s="468">
        <f t="shared" si="114"/>
        <v>0</v>
      </c>
      <c r="U126" s="463">
        <f t="shared" si="56"/>
        <v>257</v>
      </c>
      <c r="V126" s="464">
        <f t="shared" si="57"/>
        <v>255</v>
      </c>
    </row>
    <row r="127" s="197" customFormat="1" ht="18" customHeight="1" spans="1:22">
      <c r="A127" s="471"/>
      <c r="B127" s="472"/>
      <c r="C127" s="473"/>
      <c r="D127" s="473"/>
      <c r="E127" s="473"/>
      <c r="F127" s="457">
        <f t="shared" si="84"/>
        <v>0</v>
      </c>
      <c r="G127" s="42" t="s">
        <v>859</v>
      </c>
      <c r="H127" s="432"/>
      <c r="I127" s="437">
        <v>0</v>
      </c>
      <c r="J127" s="437"/>
      <c r="K127" s="437"/>
      <c r="L127" s="457">
        <f t="shared" si="85"/>
        <v>0</v>
      </c>
      <c r="M127" s="437"/>
      <c r="N127" s="437">
        <f t="shared" si="110"/>
        <v>0</v>
      </c>
      <c r="O127" s="437">
        <f t="shared" si="111"/>
        <v>0</v>
      </c>
      <c r="P127" s="437">
        <f t="shared" si="112"/>
        <v>0</v>
      </c>
      <c r="Q127" s="464"/>
      <c r="R127" s="464"/>
      <c r="S127" s="465"/>
      <c r="T127" s="465"/>
      <c r="U127" s="463">
        <f t="shared" si="56"/>
        <v>0</v>
      </c>
      <c r="V127" s="464">
        <f t="shared" si="57"/>
        <v>0</v>
      </c>
    </row>
    <row r="128" s="197" customFormat="1" ht="18" customHeight="1" spans="1:22">
      <c r="A128" s="471"/>
      <c r="B128" s="472"/>
      <c r="C128" s="473"/>
      <c r="D128" s="473"/>
      <c r="E128" s="473"/>
      <c r="F128" s="457">
        <f t="shared" si="84"/>
        <v>0</v>
      </c>
      <c r="G128" s="42" t="s">
        <v>841</v>
      </c>
      <c r="H128" s="432"/>
      <c r="I128" s="437">
        <v>81</v>
      </c>
      <c r="J128" s="437">
        <v>120</v>
      </c>
      <c r="K128" s="437">
        <v>2</v>
      </c>
      <c r="L128" s="457">
        <f t="shared" si="85"/>
        <v>0</v>
      </c>
      <c r="M128" s="437"/>
      <c r="N128" s="437"/>
      <c r="O128" s="437"/>
      <c r="P128" s="437">
        <v>137</v>
      </c>
      <c r="Q128" s="464">
        <v>81</v>
      </c>
      <c r="R128" s="464">
        <v>39</v>
      </c>
      <c r="S128" s="465"/>
      <c r="T128" s="465"/>
      <c r="U128" s="463">
        <f t="shared" si="56"/>
        <v>257</v>
      </c>
      <c r="V128" s="464">
        <f t="shared" si="57"/>
        <v>255</v>
      </c>
    </row>
    <row r="129" s="197" customFormat="1" ht="18" customHeight="1" spans="1:22">
      <c r="A129" s="471"/>
      <c r="B129" s="472"/>
      <c r="C129" s="473"/>
      <c r="D129" s="473"/>
      <c r="E129" s="473"/>
      <c r="F129" s="457">
        <f t="shared" si="84"/>
        <v>0</v>
      </c>
      <c r="G129" s="42" t="s">
        <v>862</v>
      </c>
      <c r="H129" s="432"/>
      <c r="I129" s="432">
        <v>0</v>
      </c>
      <c r="J129" s="432"/>
      <c r="K129" s="432"/>
      <c r="L129" s="457">
        <f t="shared" si="85"/>
        <v>0</v>
      </c>
      <c r="M129" s="432"/>
      <c r="N129" s="437">
        <f t="shared" si="110"/>
        <v>0</v>
      </c>
      <c r="O129" s="437">
        <f t="shared" si="111"/>
        <v>0</v>
      </c>
      <c r="P129" s="437">
        <f t="shared" si="112"/>
        <v>0</v>
      </c>
      <c r="Q129" s="464"/>
      <c r="R129" s="464"/>
      <c r="S129" s="465"/>
      <c r="T129" s="465"/>
      <c r="U129" s="463">
        <f t="shared" si="56"/>
        <v>0</v>
      </c>
      <c r="V129" s="464">
        <f t="shared" si="57"/>
        <v>0</v>
      </c>
    </row>
    <row r="130" s="197" customFormat="1" ht="18" customHeight="1" spans="1:22">
      <c r="A130" s="471"/>
      <c r="B130" s="472"/>
      <c r="C130" s="473"/>
      <c r="D130" s="473"/>
      <c r="E130" s="473"/>
      <c r="F130" s="457">
        <f t="shared" si="84"/>
        <v>0</v>
      </c>
      <c r="G130" s="278" t="s">
        <v>863</v>
      </c>
      <c r="H130" s="446">
        <f t="shared" ref="H130:K130" si="115">SUM(H131:H132)</f>
        <v>0</v>
      </c>
      <c r="I130" s="446">
        <f t="shared" si="115"/>
        <v>0</v>
      </c>
      <c r="J130" s="446">
        <f t="shared" si="115"/>
        <v>0</v>
      </c>
      <c r="K130" s="446">
        <f t="shared" si="115"/>
        <v>0</v>
      </c>
      <c r="L130" s="457">
        <f t="shared" si="85"/>
        <v>0</v>
      </c>
      <c r="M130" s="446">
        <f t="shared" ref="M130:T130" si="116">SUM(M131:M132)</f>
        <v>0</v>
      </c>
      <c r="N130" s="446">
        <f t="shared" si="116"/>
        <v>0</v>
      </c>
      <c r="O130" s="446">
        <f t="shared" si="116"/>
        <v>0</v>
      </c>
      <c r="P130" s="446">
        <f t="shared" si="116"/>
        <v>0</v>
      </c>
      <c r="Q130" s="446">
        <f t="shared" si="116"/>
        <v>0</v>
      </c>
      <c r="R130" s="446">
        <f t="shared" si="116"/>
        <v>0</v>
      </c>
      <c r="S130" s="468">
        <f t="shared" si="116"/>
        <v>0</v>
      </c>
      <c r="T130" s="468">
        <f t="shared" si="116"/>
        <v>0</v>
      </c>
      <c r="U130" s="463">
        <f t="shared" si="56"/>
        <v>0</v>
      </c>
      <c r="V130" s="464">
        <f t="shared" si="57"/>
        <v>0</v>
      </c>
    </row>
    <row r="131" s="197" customFormat="1" ht="18" customHeight="1" spans="1:22">
      <c r="A131" s="471"/>
      <c r="B131" s="472"/>
      <c r="C131" s="473"/>
      <c r="D131" s="473"/>
      <c r="E131" s="473"/>
      <c r="F131" s="457">
        <f t="shared" si="84"/>
        <v>0</v>
      </c>
      <c r="G131" s="42" t="s">
        <v>841</v>
      </c>
      <c r="H131" s="432"/>
      <c r="I131" s="437">
        <v>0</v>
      </c>
      <c r="J131" s="437"/>
      <c r="K131" s="437"/>
      <c r="L131" s="457">
        <f t="shared" si="85"/>
        <v>0</v>
      </c>
      <c r="M131" s="437"/>
      <c r="N131" s="437">
        <f t="shared" ref="N131:N138" si="117">L131-J131</f>
        <v>0</v>
      </c>
      <c r="O131" s="437">
        <f t="shared" ref="O131:O138" si="118">L131-J131</f>
        <v>0</v>
      </c>
      <c r="P131" s="437">
        <f t="shared" ref="P131:P138" si="119">M131-K131</f>
        <v>0</v>
      </c>
      <c r="Q131" s="464"/>
      <c r="R131" s="464"/>
      <c r="S131" s="465"/>
      <c r="T131" s="465"/>
      <c r="U131" s="463">
        <f t="shared" si="56"/>
        <v>0</v>
      </c>
      <c r="V131" s="464">
        <f t="shared" si="57"/>
        <v>0</v>
      </c>
    </row>
    <row r="132" s="197" customFormat="1" ht="18" customHeight="1" spans="1:22">
      <c r="A132" s="471"/>
      <c r="B132" s="472"/>
      <c r="C132" s="473"/>
      <c r="D132" s="473"/>
      <c r="E132" s="473"/>
      <c r="F132" s="457">
        <f t="shared" si="84"/>
        <v>0</v>
      </c>
      <c r="G132" s="42" t="s">
        <v>864</v>
      </c>
      <c r="H132" s="432"/>
      <c r="I132" s="437">
        <v>0</v>
      </c>
      <c r="J132" s="437"/>
      <c r="K132" s="437"/>
      <c r="L132" s="457">
        <f t="shared" si="85"/>
        <v>0</v>
      </c>
      <c r="M132" s="437"/>
      <c r="N132" s="437">
        <f t="shared" si="117"/>
        <v>0</v>
      </c>
      <c r="O132" s="437">
        <f t="shared" si="118"/>
        <v>0</v>
      </c>
      <c r="P132" s="437">
        <f t="shared" si="119"/>
        <v>0</v>
      </c>
      <c r="Q132" s="464"/>
      <c r="R132" s="464"/>
      <c r="S132" s="465"/>
      <c r="T132" s="465"/>
      <c r="U132" s="463">
        <f t="shared" si="56"/>
        <v>0</v>
      </c>
      <c r="V132" s="464">
        <f t="shared" si="57"/>
        <v>0</v>
      </c>
    </row>
    <row r="133" s="197" customFormat="1" ht="18" customHeight="1" spans="1:22">
      <c r="A133" s="471"/>
      <c r="B133" s="472"/>
      <c r="C133" s="473"/>
      <c r="D133" s="473"/>
      <c r="E133" s="473"/>
      <c r="F133" s="457">
        <f t="shared" si="84"/>
        <v>0</v>
      </c>
      <c r="G133" s="278" t="s">
        <v>865</v>
      </c>
      <c r="H133" s="446">
        <f t="shared" ref="H133:K133" si="120">H134+H139+H144+H153+H160+H170+H173+H176</f>
        <v>0</v>
      </c>
      <c r="I133" s="446">
        <f t="shared" si="120"/>
        <v>0</v>
      </c>
      <c r="J133" s="446">
        <f t="shared" si="120"/>
        <v>0</v>
      </c>
      <c r="K133" s="446">
        <f t="shared" si="120"/>
        <v>0</v>
      </c>
      <c r="L133" s="457">
        <f t="shared" si="85"/>
        <v>0</v>
      </c>
      <c r="M133" s="446">
        <f t="shared" ref="M133:T133" si="121">M134+M139+M144+M153+M160+M170+M173+M176</f>
        <v>0</v>
      </c>
      <c r="N133" s="446">
        <f t="shared" si="121"/>
        <v>0</v>
      </c>
      <c r="O133" s="446">
        <f t="shared" si="121"/>
        <v>0</v>
      </c>
      <c r="P133" s="446">
        <f t="shared" si="121"/>
        <v>0</v>
      </c>
      <c r="Q133" s="446">
        <f t="shared" si="121"/>
        <v>0</v>
      </c>
      <c r="R133" s="446">
        <f t="shared" si="121"/>
        <v>0</v>
      </c>
      <c r="S133" s="468">
        <f t="shared" si="121"/>
        <v>0</v>
      </c>
      <c r="T133" s="468">
        <f t="shared" si="121"/>
        <v>0</v>
      </c>
      <c r="U133" s="463">
        <f t="shared" ref="U133:U196" si="122">SUM(M133:T133)</f>
        <v>0</v>
      </c>
      <c r="V133" s="464">
        <f t="shared" ref="V133:V196" si="123">U133-K133</f>
        <v>0</v>
      </c>
    </row>
    <row r="134" s="197" customFormat="1" ht="18" customHeight="1" spans="1:22">
      <c r="A134" s="471"/>
      <c r="B134" s="472"/>
      <c r="C134" s="473"/>
      <c r="D134" s="473"/>
      <c r="E134" s="473"/>
      <c r="F134" s="457">
        <f t="shared" si="84"/>
        <v>0</v>
      </c>
      <c r="G134" s="278" t="s">
        <v>866</v>
      </c>
      <c r="H134" s="446">
        <f t="shared" ref="H134:K134" si="124">SUM(H135:H138)</f>
        <v>0</v>
      </c>
      <c r="I134" s="446">
        <f t="shared" si="124"/>
        <v>0</v>
      </c>
      <c r="J134" s="446">
        <f t="shared" si="124"/>
        <v>0</v>
      </c>
      <c r="K134" s="446">
        <f t="shared" si="124"/>
        <v>0</v>
      </c>
      <c r="L134" s="457">
        <f t="shared" si="85"/>
        <v>0</v>
      </c>
      <c r="M134" s="446">
        <f t="shared" ref="M134:T134" si="125">SUM(M135:M138)</f>
        <v>0</v>
      </c>
      <c r="N134" s="446">
        <f t="shared" si="125"/>
        <v>0</v>
      </c>
      <c r="O134" s="446">
        <f t="shared" si="125"/>
        <v>0</v>
      </c>
      <c r="P134" s="446">
        <f t="shared" si="125"/>
        <v>0</v>
      </c>
      <c r="Q134" s="446">
        <f t="shared" si="125"/>
        <v>0</v>
      </c>
      <c r="R134" s="446">
        <f t="shared" si="125"/>
        <v>0</v>
      </c>
      <c r="S134" s="468">
        <f t="shared" si="125"/>
        <v>0</v>
      </c>
      <c r="T134" s="468">
        <f t="shared" si="125"/>
        <v>0</v>
      </c>
      <c r="U134" s="463">
        <f t="shared" si="122"/>
        <v>0</v>
      </c>
      <c r="V134" s="464">
        <f t="shared" si="123"/>
        <v>0</v>
      </c>
    </row>
    <row r="135" s="197" customFormat="1" ht="18" customHeight="1" spans="1:22">
      <c r="A135" s="471"/>
      <c r="B135" s="472"/>
      <c r="C135" s="473"/>
      <c r="D135" s="473"/>
      <c r="E135" s="473"/>
      <c r="F135" s="457">
        <f t="shared" si="84"/>
        <v>0</v>
      </c>
      <c r="G135" s="42" t="s">
        <v>867</v>
      </c>
      <c r="H135" s="432"/>
      <c r="I135" s="432">
        <v>0</v>
      </c>
      <c r="J135" s="432"/>
      <c r="K135" s="432"/>
      <c r="L135" s="457">
        <f t="shared" si="85"/>
        <v>0</v>
      </c>
      <c r="M135" s="432"/>
      <c r="N135" s="437">
        <f t="shared" si="117"/>
        <v>0</v>
      </c>
      <c r="O135" s="437">
        <f t="shared" si="118"/>
        <v>0</v>
      </c>
      <c r="P135" s="437">
        <f t="shared" si="119"/>
        <v>0</v>
      </c>
      <c r="Q135" s="464"/>
      <c r="R135" s="464"/>
      <c r="S135" s="465"/>
      <c r="T135" s="465"/>
      <c r="U135" s="463">
        <f t="shared" si="122"/>
        <v>0</v>
      </c>
      <c r="V135" s="464">
        <f t="shared" si="123"/>
        <v>0</v>
      </c>
    </row>
    <row r="136" s="197" customFormat="1" ht="18" customHeight="1" spans="1:22">
      <c r="A136" s="471"/>
      <c r="B136" s="472"/>
      <c r="C136" s="473"/>
      <c r="D136" s="473"/>
      <c r="E136" s="473"/>
      <c r="F136" s="457">
        <f t="shared" si="84"/>
        <v>0</v>
      </c>
      <c r="G136" s="122" t="s">
        <v>868</v>
      </c>
      <c r="H136" s="432"/>
      <c r="I136" s="437">
        <v>0</v>
      </c>
      <c r="J136" s="437"/>
      <c r="K136" s="437"/>
      <c r="L136" s="457">
        <f t="shared" si="85"/>
        <v>0</v>
      </c>
      <c r="M136" s="437"/>
      <c r="N136" s="437">
        <f t="shared" si="117"/>
        <v>0</v>
      </c>
      <c r="O136" s="437">
        <f t="shared" si="118"/>
        <v>0</v>
      </c>
      <c r="P136" s="437">
        <f t="shared" si="119"/>
        <v>0</v>
      </c>
      <c r="Q136" s="464"/>
      <c r="R136" s="464"/>
      <c r="S136" s="465"/>
      <c r="T136" s="465"/>
      <c r="U136" s="463">
        <f t="shared" si="122"/>
        <v>0</v>
      </c>
      <c r="V136" s="464">
        <f t="shared" si="123"/>
        <v>0</v>
      </c>
    </row>
    <row r="137" s="197" customFormat="1" ht="18" customHeight="1" spans="1:22">
      <c r="A137" s="471"/>
      <c r="B137" s="472"/>
      <c r="C137" s="473"/>
      <c r="D137" s="473"/>
      <c r="E137" s="473"/>
      <c r="F137" s="457">
        <f t="shared" si="84"/>
        <v>0</v>
      </c>
      <c r="G137" s="42" t="s">
        <v>869</v>
      </c>
      <c r="H137" s="432"/>
      <c r="I137" s="437">
        <v>0</v>
      </c>
      <c r="J137" s="437"/>
      <c r="K137" s="437"/>
      <c r="L137" s="457">
        <f t="shared" si="85"/>
        <v>0</v>
      </c>
      <c r="M137" s="437"/>
      <c r="N137" s="437">
        <f t="shared" si="117"/>
        <v>0</v>
      </c>
      <c r="O137" s="437">
        <f t="shared" si="118"/>
        <v>0</v>
      </c>
      <c r="P137" s="437">
        <f t="shared" si="119"/>
        <v>0</v>
      </c>
      <c r="Q137" s="464"/>
      <c r="R137" s="464"/>
      <c r="S137" s="465"/>
      <c r="T137" s="465"/>
      <c r="U137" s="463">
        <f t="shared" si="122"/>
        <v>0</v>
      </c>
      <c r="V137" s="464">
        <f t="shared" si="123"/>
        <v>0</v>
      </c>
    </row>
    <row r="138" s="197" customFormat="1" ht="18" customHeight="1" spans="1:22">
      <c r="A138" s="471"/>
      <c r="B138" s="472"/>
      <c r="C138" s="473"/>
      <c r="D138" s="473"/>
      <c r="E138" s="473"/>
      <c r="F138" s="457">
        <f t="shared" si="84"/>
        <v>0</v>
      </c>
      <c r="G138" s="42" t="s">
        <v>870</v>
      </c>
      <c r="H138" s="432"/>
      <c r="I138" s="437">
        <v>0</v>
      </c>
      <c r="J138" s="437"/>
      <c r="K138" s="437"/>
      <c r="L138" s="457">
        <f t="shared" si="85"/>
        <v>0</v>
      </c>
      <c r="M138" s="437"/>
      <c r="N138" s="437">
        <f t="shared" si="117"/>
        <v>0</v>
      </c>
      <c r="O138" s="437">
        <f t="shared" si="118"/>
        <v>0</v>
      </c>
      <c r="P138" s="437">
        <f t="shared" si="119"/>
        <v>0</v>
      </c>
      <c r="Q138" s="464"/>
      <c r="R138" s="464"/>
      <c r="S138" s="465"/>
      <c r="T138" s="465"/>
      <c r="U138" s="463">
        <f t="shared" si="122"/>
        <v>0</v>
      </c>
      <c r="V138" s="464">
        <f t="shared" si="123"/>
        <v>0</v>
      </c>
    </row>
    <row r="139" s="197" customFormat="1" ht="18" customHeight="1" spans="1:22">
      <c r="A139" s="471"/>
      <c r="B139" s="472"/>
      <c r="C139" s="473"/>
      <c r="D139" s="473"/>
      <c r="E139" s="473"/>
      <c r="F139" s="457">
        <f t="shared" si="84"/>
        <v>0</v>
      </c>
      <c r="G139" s="477" t="s">
        <v>871</v>
      </c>
      <c r="H139" s="446">
        <f t="shared" ref="H139:K139" si="126">SUM(H140:H143)</f>
        <v>0</v>
      </c>
      <c r="I139" s="446">
        <f t="shared" si="126"/>
        <v>0</v>
      </c>
      <c r="J139" s="446">
        <f t="shared" si="126"/>
        <v>0</v>
      </c>
      <c r="K139" s="446">
        <f t="shared" si="126"/>
        <v>0</v>
      </c>
      <c r="L139" s="456">
        <f t="shared" si="85"/>
        <v>0</v>
      </c>
      <c r="M139" s="446">
        <f t="shared" ref="M139:T139" si="127">SUM(M140:M143)</f>
        <v>0</v>
      </c>
      <c r="N139" s="446">
        <f t="shared" si="127"/>
        <v>0</v>
      </c>
      <c r="O139" s="446">
        <f t="shared" si="127"/>
        <v>0</v>
      </c>
      <c r="P139" s="446">
        <f t="shared" si="127"/>
        <v>0</v>
      </c>
      <c r="Q139" s="446">
        <f t="shared" si="127"/>
        <v>0</v>
      </c>
      <c r="R139" s="446">
        <f t="shared" si="127"/>
        <v>0</v>
      </c>
      <c r="S139" s="468">
        <f t="shared" si="127"/>
        <v>0</v>
      </c>
      <c r="T139" s="468">
        <f t="shared" si="127"/>
        <v>0</v>
      </c>
      <c r="U139" s="463">
        <f t="shared" si="122"/>
        <v>0</v>
      </c>
      <c r="V139" s="464">
        <f t="shared" si="123"/>
        <v>0</v>
      </c>
    </row>
    <row r="140" s="197" customFormat="1" ht="18" customHeight="1" spans="1:22">
      <c r="A140" s="471"/>
      <c r="B140" s="472"/>
      <c r="C140" s="473"/>
      <c r="D140" s="473"/>
      <c r="E140" s="473"/>
      <c r="F140" s="457"/>
      <c r="G140" s="42" t="s">
        <v>869</v>
      </c>
      <c r="H140" s="432"/>
      <c r="I140" s="432">
        <v>0</v>
      </c>
      <c r="J140" s="432"/>
      <c r="K140" s="432"/>
      <c r="L140" s="456"/>
      <c r="M140" s="432"/>
      <c r="N140" s="437">
        <f t="shared" ref="N140:N143" si="128">L140-J140</f>
        <v>0</v>
      </c>
      <c r="O140" s="437">
        <f t="shared" ref="O140:O143" si="129">L140-J140</f>
        <v>0</v>
      </c>
      <c r="P140" s="437">
        <f t="shared" ref="P140:P143" si="130">M140-K140</f>
        <v>0</v>
      </c>
      <c r="Q140" s="464"/>
      <c r="R140" s="464"/>
      <c r="S140" s="465"/>
      <c r="T140" s="465"/>
      <c r="U140" s="463">
        <f t="shared" si="122"/>
        <v>0</v>
      </c>
      <c r="V140" s="464">
        <f t="shared" si="123"/>
        <v>0</v>
      </c>
    </row>
    <row r="141" s="197" customFormat="1" ht="18" customHeight="1" spans="1:22">
      <c r="A141" s="471"/>
      <c r="B141" s="472"/>
      <c r="C141" s="473"/>
      <c r="D141" s="473"/>
      <c r="E141" s="473"/>
      <c r="F141" s="457">
        <f t="shared" ref="F141:F178" si="131">IF(B141=0,0,SUM(E141/B141-1)*100)</f>
        <v>0</v>
      </c>
      <c r="G141" s="42" t="s">
        <v>872</v>
      </c>
      <c r="H141" s="432"/>
      <c r="I141" s="437">
        <v>0</v>
      </c>
      <c r="J141" s="437"/>
      <c r="K141" s="437"/>
      <c r="L141" s="457">
        <f t="shared" ref="L141:L176" si="132">IF(H141=0,0,SUM(K141/H141-1)*100)</f>
        <v>0</v>
      </c>
      <c r="M141" s="437"/>
      <c r="N141" s="437">
        <f t="shared" si="128"/>
        <v>0</v>
      </c>
      <c r="O141" s="437">
        <f t="shared" si="129"/>
        <v>0</v>
      </c>
      <c r="P141" s="437">
        <f t="shared" si="130"/>
        <v>0</v>
      </c>
      <c r="Q141" s="464"/>
      <c r="R141" s="464"/>
      <c r="S141" s="465"/>
      <c r="T141" s="465"/>
      <c r="U141" s="463">
        <f t="shared" si="122"/>
        <v>0</v>
      </c>
      <c r="V141" s="464">
        <f t="shared" si="123"/>
        <v>0</v>
      </c>
    </row>
    <row r="142" s="197" customFormat="1" ht="18" customHeight="1" spans="1:22">
      <c r="A142" s="471"/>
      <c r="B142" s="472"/>
      <c r="C142" s="473"/>
      <c r="D142" s="473"/>
      <c r="E142" s="473"/>
      <c r="F142" s="457">
        <f t="shared" si="131"/>
        <v>0</v>
      </c>
      <c r="G142" s="42" t="s">
        <v>873</v>
      </c>
      <c r="H142" s="432"/>
      <c r="I142" s="437">
        <v>0</v>
      </c>
      <c r="J142" s="437"/>
      <c r="K142" s="437"/>
      <c r="L142" s="457">
        <f t="shared" si="132"/>
        <v>0</v>
      </c>
      <c r="M142" s="437"/>
      <c r="N142" s="437">
        <f t="shared" si="128"/>
        <v>0</v>
      </c>
      <c r="O142" s="437">
        <f t="shared" si="129"/>
        <v>0</v>
      </c>
      <c r="P142" s="437">
        <f t="shared" si="130"/>
        <v>0</v>
      </c>
      <c r="Q142" s="464"/>
      <c r="R142" s="464"/>
      <c r="S142" s="465"/>
      <c r="T142" s="465"/>
      <c r="U142" s="463">
        <f t="shared" si="122"/>
        <v>0</v>
      </c>
      <c r="V142" s="464">
        <f t="shared" si="123"/>
        <v>0</v>
      </c>
    </row>
    <row r="143" s="197" customFormat="1" ht="18" customHeight="1" spans="1:22">
      <c r="A143" s="471"/>
      <c r="B143" s="472"/>
      <c r="C143" s="473"/>
      <c r="D143" s="473"/>
      <c r="E143" s="473"/>
      <c r="F143" s="457">
        <f t="shared" si="131"/>
        <v>0</v>
      </c>
      <c r="G143" s="42" t="s">
        <v>874</v>
      </c>
      <c r="H143" s="432"/>
      <c r="I143" s="437">
        <v>0</v>
      </c>
      <c r="J143" s="437"/>
      <c r="K143" s="437"/>
      <c r="L143" s="456">
        <f t="shared" si="132"/>
        <v>0</v>
      </c>
      <c r="M143" s="437"/>
      <c r="N143" s="437">
        <f t="shared" si="128"/>
        <v>0</v>
      </c>
      <c r="O143" s="437">
        <f t="shared" si="129"/>
        <v>0</v>
      </c>
      <c r="P143" s="437">
        <f t="shared" si="130"/>
        <v>0</v>
      </c>
      <c r="Q143" s="464"/>
      <c r="R143" s="464"/>
      <c r="S143" s="465"/>
      <c r="T143" s="465"/>
      <c r="U143" s="463">
        <f t="shared" si="122"/>
        <v>0</v>
      </c>
      <c r="V143" s="464">
        <f t="shared" si="123"/>
        <v>0</v>
      </c>
    </row>
    <row r="144" s="197" customFormat="1" ht="18" customHeight="1" spans="1:22">
      <c r="A144" s="471"/>
      <c r="B144" s="472"/>
      <c r="C144" s="473"/>
      <c r="D144" s="473"/>
      <c r="E144" s="473"/>
      <c r="F144" s="457">
        <f t="shared" si="131"/>
        <v>0</v>
      </c>
      <c r="G144" s="278" t="s">
        <v>875</v>
      </c>
      <c r="H144" s="446">
        <f t="shared" ref="H144:K144" si="133">SUM(H145:H152)</f>
        <v>0</v>
      </c>
      <c r="I144" s="446">
        <f t="shared" si="133"/>
        <v>0</v>
      </c>
      <c r="J144" s="446">
        <f t="shared" si="133"/>
        <v>0</v>
      </c>
      <c r="K144" s="446">
        <f t="shared" si="133"/>
        <v>0</v>
      </c>
      <c r="L144" s="456">
        <f t="shared" si="132"/>
        <v>0</v>
      </c>
      <c r="M144" s="446">
        <f t="shared" ref="M144:T144" si="134">SUM(M145:M152)</f>
        <v>0</v>
      </c>
      <c r="N144" s="446">
        <f t="shared" si="134"/>
        <v>0</v>
      </c>
      <c r="O144" s="446">
        <f t="shared" si="134"/>
        <v>0</v>
      </c>
      <c r="P144" s="446">
        <f t="shared" si="134"/>
        <v>0</v>
      </c>
      <c r="Q144" s="446">
        <f t="shared" si="134"/>
        <v>0</v>
      </c>
      <c r="R144" s="446">
        <f t="shared" si="134"/>
        <v>0</v>
      </c>
      <c r="S144" s="468">
        <f t="shared" si="134"/>
        <v>0</v>
      </c>
      <c r="T144" s="468">
        <f t="shared" si="134"/>
        <v>0</v>
      </c>
      <c r="U144" s="463">
        <f t="shared" si="122"/>
        <v>0</v>
      </c>
      <c r="V144" s="464">
        <f t="shared" si="123"/>
        <v>0</v>
      </c>
    </row>
    <row r="145" s="197" customFormat="1" ht="18" customHeight="1" spans="1:22">
      <c r="A145" s="471"/>
      <c r="B145" s="472"/>
      <c r="C145" s="473"/>
      <c r="D145" s="473"/>
      <c r="E145" s="473"/>
      <c r="F145" s="457">
        <f t="shared" si="131"/>
        <v>0</v>
      </c>
      <c r="G145" s="42" t="s">
        <v>876</v>
      </c>
      <c r="H145" s="432"/>
      <c r="I145" s="432">
        <v>0</v>
      </c>
      <c r="J145" s="432"/>
      <c r="K145" s="432"/>
      <c r="L145" s="457">
        <f t="shared" si="132"/>
        <v>0</v>
      </c>
      <c r="M145" s="432"/>
      <c r="N145" s="437">
        <f t="shared" ref="N145:N152" si="135">L145-J145</f>
        <v>0</v>
      </c>
      <c r="O145" s="437">
        <f t="shared" ref="O145:O152" si="136">L145-J145</f>
        <v>0</v>
      </c>
      <c r="P145" s="437">
        <f t="shared" ref="P145:P152" si="137">M145-K145</f>
        <v>0</v>
      </c>
      <c r="Q145" s="464"/>
      <c r="R145" s="464"/>
      <c r="S145" s="465"/>
      <c r="T145" s="465"/>
      <c r="U145" s="463">
        <f t="shared" si="122"/>
        <v>0</v>
      </c>
      <c r="V145" s="464">
        <f t="shared" si="123"/>
        <v>0</v>
      </c>
    </row>
    <row r="146" s="197" customFormat="1" ht="18" customHeight="1" spans="1:22">
      <c r="A146" s="471"/>
      <c r="B146" s="472"/>
      <c r="C146" s="473"/>
      <c r="D146" s="473"/>
      <c r="E146" s="473"/>
      <c r="F146" s="457">
        <f t="shared" si="131"/>
        <v>0</v>
      </c>
      <c r="G146" s="42" t="s">
        <v>877</v>
      </c>
      <c r="H146" s="432"/>
      <c r="I146" s="437">
        <v>0</v>
      </c>
      <c r="J146" s="437"/>
      <c r="K146" s="437"/>
      <c r="L146" s="457">
        <f t="shared" si="132"/>
        <v>0</v>
      </c>
      <c r="M146" s="437"/>
      <c r="N146" s="437">
        <f t="shared" si="135"/>
        <v>0</v>
      </c>
      <c r="O146" s="437">
        <f t="shared" si="136"/>
        <v>0</v>
      </c>
      <c r="P146" s="437">
        <f t="shared" si="137"/>
        <v>0</v>
      </c>
      <c r="Q146" s="464"/>
      <c r="R146" s="464"/>
      <c r="S146" s="465"/>
      <c r="T146" s="465"/>
      <c r="U146" s="463">
        <f t="shared" si="122"/>
        <v>0</v>
      </c>
      <c r="V146" s="464">
        <f t="shared" si="123"/>
        <v>0</v>
      </c>
    </row>
    <row r="147" s="197" customFormat="1" ht="18" customHeight="1" spans="1:22">
      <c r="A147" s="471"/>
      <c r="B147" s="472"/>
      <c r="C147" s="473"/>
      <c r="D147" s="473"/>
      <c r="E147" s="473"/>
      <c r="F147" s="457">
        <f t="shared" si="131"/>
        <v>0</v>
      </c>
      <c r="G147" s="122" t="s">
        <v>878</v>
      </c>
      <c r="H147" s="432"/>
      <c r="I147" s="437">
        <v>0</v>
      </c>
      <c r="J147" s="437"/>
      <c r="K147" s="437"/>
      <c r="L147" s="457">
        <f t="shared" si="132"/>
        <v>0</v>
      </c>
      <c r="M147" s="437"/>
      <c r="N147" s="437">
        <f t="shared" si="135"/>
        <v>0</v>
      </c>
      <c r="O147" s="437">
        <f t="shared" si="136"/>
        <v>0</v>
      </c>
      <c r="P147" s="437">
        <f t="shared" si="137"/>
        <v>0</v>
      </c>
      <c r="Q147" s="464"/>
      <c r="R147" s="464"/>
      <c r="S147" s="465"/>
      <c r="T147" s="465"/>
      <c r="U147" s="463">
        <f t="shared" si="122"/>
        <v>0</v>
      </c>
      <c r="V147" s="464">
        <f t="shared" si="123"/>
        <v>0</v>
      </c>
    </row>
    <row r="148" s="197" customFormat="1" ht="18" customHeight="1" spans="1:22">
      <c r="A148" s="471"/>
      <c r="B148" s="472"/>
      <c r="C148" s="473"/>
      <c r="D148" s="473"/>
      <c r="E148" s="473"/>
      <c r="F148" s="457">
        <f t="shared" si="131"/>
        <v>0</v>
      </c>
      <c r="G148" s="42" t="s">
        <v>879</v>
      </c>
      <c r="H148" s="432"/>
      <c r="I148" s="437">
        <v>0</v>
      </c>
      <c r="J148" s="437"/>
      <c r="K148" s="437"/>
      <c r="L148" s="457">
        <f t="shared" si="132"/>
        <v>0</v>
      </c>
      <c r="M148" s="437"/>
      <c r="N148" s="437">
        <f t="shared" si="135"/>
        <v>0</v>
      </c>
      <c r="O148" s="437">
        <f t="shared" si="136"/>
        <v>0</v>
      </c>
      <c r="P148" s="437">
        <f t="shared" si="137"/>
        <v>0</v>
      </c>
      <c r="Q148" s="464"/>
      <c r="R148" s="464"/>
      <c r="S148" s="465"/>
      <c r="T148" s="465"/>
      <c r="U148" s="463">
        <f t="shared" si="122"/>
        <v>0</v>
      </c>
      <c r="V148" s="464">
        <f t="shared" si="123"/>
        <v>0</v>
      </c>
    </row>
    <row r="149" s="197" customFormat="1" ht="18" customHeight="1" spans="1:22">
      <c r="A149" s="471"/>
      <c r="B149" s="472"/>
      <c r="C149" s="473"/>
      <c r="D149" s="473"/>
      <c r="E149" s="473"/>
      <c r="F149" s="457">
        <f t="shared" si="131"/>
        <v>0</v>
      </c>
      <c r="G149" s="42" t="s">
        <v>880</v>
      </c>
      <c r="H149" s="432"/>
      <c r="I149" s="437">
        <v>0</v>
      </c>
      <c r="J149" s="437"/>
      <c r="K149" s="437"/>
      <c r="L149" s="457">
        <f t="shared" si="132"/>
        <v>0</v>
      </c>
      <c r="M149" s="437"/>
      <c r="N149" s="437">
        <f t="shared" si="135"/>
        <v>0</v>
      </c>
      <c r="O149" s="437">
        <f t="shared" si="136"/>
        <v>0</v>
      </c>
      <c r="P149" s="437">
        <f t="shared" si="137"/>
        <v>0</v>
      </c>
      <c r="Q149" s="464"/>
      <c r="R149" s="464"/>
      <c r="S149" s="465"/>
      <c r="T149" s="465"/>
      <c r="U149" s="463">
        <f t="shared" si="122"/>
        <v>0</v>
      </c>
      <c r="V149" s="464">
        <f t="shared" si="123"/>
        <v>0</v>
      </c>
    </row>
    <row r="150" s="197" customFormat="1" ht="18" customHeight="1" spans="1:22">
      <c r="A150" s="471"/>
      <c r="B150" s="472"/>
      <c r="C150" s="473"/>
      <c r="D150" s="473"/>
      <c r="E150" s="473"/>
      <c r="F150" s="457">
        <f t="shared" si="131"/>
        <v>0</v>
      </c>
      <c r="G150" s="42" t="s">
        <v>881</v>
      </c>
      <c r="H150" s="432"/>
      <c r="I150" s="437">
        <v>0</v>
      </c>
      <c r="J150" s="437"/>
      <c r="K150" s="437"/>
      <c r="L150" s="457">
        <f t="shared" si="132"/>
        <v>0</v>
      </c>
      <c r="M150" s="437"/>
      <c r="N150" s="437">
        <f t="shared" si="135"/>
        <v>0</v>
      </c>
      <c r="O150" s="437">
        <f t="shared" si="136"/>
        <v>0</v>
      </c>
      <c r="P150" s="437">
        <f t="shared" si="137"/>
        <v>0</v>
      </c>
      <c r="Q150" s="464"/>
      <c r="R150" s="464"/>
      <c r="S150" s="465"/>
      <c r="T150" s="465"/>
      <c r="U150" s="463">
        <f t="shared" si="122"/>
        <v>0</v>
      </c>
      <c r="V150" s="464">
        <f t="shared" si="123"/>
        <v>0</v>
      </c>
    </row>
    <row r="151" s="197" customFormat="1" ht="18" customHeight="1" spans="1:22">
      <c r="A151" s="471"/>
      <c r="B151" s="472"/>
      <c r="C151" s="473"/>
      <c r="D151" s="473"/>
      <c r="E151" s="473"/>
      <c r="F151" s="457">
        <f t="shared" si="131"/>
        <v>0</v>
      </c>
      <c r="G151" s="42" t="s">
        <v>882</v>
      </c>
      <c r="H151" s="432"/>
      <c r="I151" s="437">
        <v>0</v>
      </c>
      <c r="J151" s="437"/>
      <c r="K151" s="437"/>
      <c r="L151" s="457">
        <f t="shared" si="132"/>
        <v>0</v>
      </c>
      <c r="M151" s="437"/>
      <c r="N151" s="437">
        <f t="shared" si="135"/>
        <v>0</v>
      </c>
      <c r="O151" s="437">
        <f t="shared" si="136"/>
        <v>0</v>
      </c>
      <c r="P151" s="437">
        <f t="shared" si="137"/>
        <v>0</v>
      </c>
      <c r="Q151" s="464"/>
      <c r="R151" s="464"/>
      <c r="S151" s="465"/>
      <c r="T151" s="465"/>
      <c r="U151" s="463">
        <f t="shared" si="122"/>
        <v>0</v>
      </c>
      <c r="V151" s="464">
        <f t="shared" si="123"/>
        <v>0</v>
      </c>
    </row>
    <row r="152" s="197" customFormat="1" ht="18" customHeight="1" spans="1:22">
      <c r="A152" s="471"/>
      <c r="B152" s="472"/>
      <c r="C152" s="473"/>
      <c r="D152" s="473"/>
      <c r="E152" s="473"/>
      <c r="F152" s="457">
        <f t="shared" si="131"/>
        <v>0</v>
      </c>
      <c r="G152" s="42" t="s">
        <v>883</v>
      </c>
      <c r="H152" s="432"/>
      <c r="I152" s="437">
        <v>0</v>
      </c>
      <c r="J152" s="437"/>
      <c r="K152" s="437"/>
      <c r="L152" s="457">
        <f t="shared" si="132"/>
        <v>0</v>
      </c>
      <c r="M152" s="437"/>
      <c r="N152" s="437">
        <f t="shared" si="135"/>
        <v>0</v>
      </c>
      <c r="O152" s="437">
        <f t="shared" si="136"/>
        <v>0</v>
      </c>
      <c r="P152" s="437">
        <f t="shared" si="137"/>
        <v>0</v>
      </c>
      <c r="Q152" s="464"/>
      <c r="R152" s="464"/>
      <c r="S152" s="465"/>
      <c r="T152" s="465"/>
      <c r="U152" s="463">
        <f t="shared" si="122"/>
        <v>0</v>
      </c>
      <c r="V152" s="464">
        <f t="shared" si="123"/>
        <v>0</v>
      </c>
    </row>
    <row r="153" s="197" customFormat="1" ht="18" customHeight="1" spans="1:22">
      <c r="A153" s="471"/>
      <c r="B153" s="472"/>
      <c r="C153" s="473"/>
      <c r="D153" s="473"/>
      <c r="E153" s="473"/>
      <c r="F153" s="457">
        <f t="shared" si="131"/>
        <v>0</v>
      </c>
      <c r="G153" s="278" t="s">
        <v>884</v>
      </c>
      <c r="H153" s="446">
        <f t="shared" ref="H153:K153" si="138">SUM(H154:H159)</f>
        <v>0</v>
      </c>
      <c r="I153" s="446">
        <f t="shared" si="138"/>
        <v>0</v>
      </c>
      <c r="J153" s="446">
        <f t="shared" si="138"/>
        <v>0</v>
      </c>
      <c r="K153" s="446">
        <f t="shared" si="138"/>
        <v>0</v>
      </c>
      <c r="L153" s="457">
        <f t="shared" si="132"/>
        <v>0</v>
      </c>
      <c r="M153" s="446">
        <f t="shared" ref="M153:T153" si="139">SUM(M154:M159)</f>
        <v>0</v>
      </c>
      <c r="N153" s="446">
        <f t="shared" si="139"/>
        <v>0</v>
      </c>
      <c r="O153" s="446">
        <f t="shared" si="139"/>
        <v>0</v>
      </c>
      <c r="P153" s="446">
        <f t="shared" si="139"/>
        <v>0</v>
      </c>
      <c r="Q153" s="446">
        <f t="shared" si="139"/>
        <v>0</v>
      </c>
      <c r="R153" s="446">
        <f t="shared" si="139"/>
        <v>0</v>
      </c>
      <c r="S153" s="468">
        <f t="shared" si="139"/>
        <v>0</v>
      </c>
      <c r="T153" s="468">
        <f t="shared" si="139"/>
        <v>0</v>
      </c>
      <c r="U153" s="463">
        <f t="shared" si="122"/>
        <v>0</v>
      </c>
      <c r="V153" s="464">
        <f t="shared" si="123"/>
        <v>0</v>
      </c>
    </row>
    <row r="154" s="197" customFormat="1" ht="18" customHeight="1" spans="1:22">
      <c r="A154" s="471"/>
      <c r="B154" s="472"/>
      <c r="C154" s="473"/>
      <c r="D154" s="473"/>
      <c r="E154" s="473"/>
      <c r="F154" s="457">
        <f t="shared" si="131"/>
        <v>0</v>
      </c>
      <c r="G154" s="42" t="s">
        <v>885</v>
      </c>
      <c r="H154" s="432"/>
      <c r="I154" s="432">
        <v>0</v>
      </c>
      <c r="J154" s="432"/>
      <c r="K154" s="432"/>
      <c r="L154" s="457">
        <f t="shared" si="132"/>
        <v>0</v>
      </c>
      <c r="M154" s="432"/>
      <c r="N154" s="437">
        <f t="shared" ref="N154:N159" si="140">L154-J154</f>
        <v>0</v>
      </c>
      <c r="O154" s="437">
        <f t="shared" ref="O154:O159" si="141">L154-J154</f>
        <v>0</v>
      </c>
      <c r="P154" s="437">
        <f t="shared" ref="P154:P159" si="142">M154-K154</f>
        <v>0</v>
      </c>
      <c r="Q154" s="464"/>
      <c r="R154" s="464"/>
      <c r="S154" s="465"/>
      <c r="T154" s="465"/>
      <c r="U154" s="463">
        <f t="shared" si="122"/>
        <v>0</v>
      </c>
      <c r="V154" s="464">
        <f t="shared" si="123"/>
        <v>0</v>
      </c>
    </row>
    <row r="155" s="197" customFormat="1" ht="18" customHeight="1" spans="1:22">
      <c r="A155" s="471"/>
      <c r="B155" s="472"/>
      <c r="C155" s="473"/>
      <c r="D155" s="473"/>
      <c r="E155" s="473"/>
      <c r="F155" s="457">
        <f t="shared" si="131"/>
        <v>0</v>
      </c>
      <c r="G155" s="42" t="s">
        <v>886</v>
      </c>
      <c r="H155" s="432"/>
      <c r="I155" s="437">
        <v>0</v>
      </c>
      <c r="J155" s="437"/>
      <c r="K155" s="437"/>
      <c r="L155" s="457">
        <f t="shared" si="132"/>
        <v>0</v>
      </c>
      <c r="M155" s="437"/>
      <c r="N155" s="437">
        <f t="shared" si="140"/>
        <v>0</v>
      </c>
      <c r="O155" s="437">
        <f t="shared" si="141"/>
        <v>0</v>
      </c>
      <c r="P155" s="437">
        <f t="shared" si="142"/>
        <v>0</v>
      </c>
      <c r="Q155" s="464"/>
      <c r="R155" s="464"/>
      <c r="S155" s="465"/>
      <c r="T155" s="465"/>
      <c r="U155" s="463">
        <f t="shared" si="122"/>
        <v>0</v>
      </c>
      <c r="V155" s="464">
        <f t="shared" si="123"/>
        <v>0</v>
      </c>
    </row>
    <row r="156" s="197" customFormat="1" ht="18" customHeight="1" spans="1:22">
      <c r="A156" s="471"/>
      <c r="B156" s="472"/>
      <c r="C156" s="473"/>
      <c r="D156" s="473"/>
      <c r="E156" s="473"/>
      <c r="F156" s="457">
        <f t="shared" si="131"/>
        <v>0</v>
      </c>
      <c r="G156" s="42" t="s">
        <v>887</v>
      </c>
      <c r="H156" s="432"/>
      <c r="I156" s="437">
        <v>0</v>
      </c>
      <c r="J156" s="437"/>
      <c r="K156" s="437"/>
      <c r="L156" s="457">
        <f t="shared" si="132"/>
        <v>0</v>
      </c>
      <c r="M156" s="437"/>
      <c r="N156" s="437">
        <f t="shared" si="140"/>
        <v>0</v>
      </c>
      <c r="O156" s="437">
        <f t="shared" si="141"/>
        <v>0</v>
      </c>
      <c r="P156" s="437">
        <f t="shared" si="142"/>
        <v>0</v>
      </c>
      <c r="Q156" s="464"/>
      <c r="R156" s="464"/>
      <c r="S156" s="465"/>
      <c r="T156" s="465"/>
      <c r="U156" s="463">
        <f t="shared" si="122"/>
        <v>0</v>
      </c>
      <c r="V156" s="464">
        <f t="shared" si="123"/>
        <v>0</v>
      </c>
    </row>
    <row r="157" s="197" customFormat="1" ht="18" customHeight="1" spans="1:22">
      <c r="A157" s="471"/>
      <c r="B157" s="472"/>
      <c r="C157" s="473"/>
      <c r="D157" s="473"/>
      <c r="E157" s="473"/>
      <c r="F157" s="457">
        <f t="shared" si="131"/>
        <v>0</v>
      </c>
      <c r="G157" s="42" t="s">
        <v>888</v>
      </c>
      <c r="H157" s="432"/>
      <c r="I157" s="437">
        <v>0</v>
      </c>
      <c r="J157" s="437"/>
      <c r="K157" s="437"/>
      <c r="L157" s="457">
        <f t="shared" si="132"/>
        <v>0</v>
      </c>
      <c r="M157" s="437"/>
      <c r="N157" s="437">
        <f t="shared" si="140"/>
        <v>0</v>
      </c>
      <c r="O157" s="437">
        <f t="shared" si="141"/>
        <v>0</v>
      </c>
      <c r="P157" s="437">
        <f t="shared" si="142"/>
        <v>0</v>
      </c>
      <c r="Q157" s="464"/>
      <c r="R157" s="464"/>
      <c r="S157" s="465"/>
      <c r="T157" s="465"/>
      <c r="U157" s="463">
        <f t="shared" si="122"/>
        <v>0</v>
      </c>
      <c r="V157" s="464">
        <f t="shared" si="123"/>
        <v>0</v>
      </c>
    </row>
    <row r="158" s="197" customFormat="1" ht="18" customHeight="1" spans="1:22">
      <c r="A158" s="471"/>
      <c r="B158" s="472"/>
      <c r="C158" s="473"/>
      <c r="D158" s="473"/>
      <c r="E158" s="473"/>
      <c r="F158" s="457">
        <f t="shared" si="131"/>
        <v>0</v>
      </c>
      <c r="G158" s="122" t="s">
        <v>889</v>
      </c>
      <c r="H158" s="432"/>
      <c r="I158" s="437">
        <v>0</v>
      </c>
      <c r="J158" s="437"/>
      <c r="K158" s="437"/>
      <c r="L158" s="456">
        <f t="shared" si="132"/>
        <v>0</v>
      </c>
      <c r="M158" s="437"/>
      <c r="N158" s="437">
        <f t="shared" si="140"/>
        <v>0</v>
      </c>
      <c r="O158" s="437">
        <f t="shared" si="141"/>
        <v>0</v>
      </c>
      <c r="P158" s="437">
        <f t="shared" si="142"/>
        <v>0</v>
      </c>
      <c r="Q158" s="464"/>
      <c r="R158" s="464"/>
      <c r="S158" s="465"/>
      <c r="T158" s="465"/>
      <c r="U158" s="463">
        <f t="shared" si="122"/>
        <v>0</v>
      </c>
      <c r="V158" s="464">
        <f t="shared" si="123"/>
        <v>0</v>
      </c>
    </row>
    <row r="159" s="197" customFormat="1" ht="18" customHeight="1" spans="1:22">
      <c r="A159" s="471"/>
      <c r="B159" s="472"/>
      <c r="C159" s="473"/>
      <c r="D159" s="473"/>
      <c r="E159" s="473"/>
      <c r="F159" s="457">
        <f t="shared" si="131"/>
        <v>0</v>
      </c>
      <c r="G159" s="42" t="s">
        <v>890</v>
      </c>
      <c r="H159" s="432"/>
      <c r="I159" s="437">
        <v>0</v>
      </c>
      <c r="J159" s="437"/>
      <c r="K159" s="437"/>
      <c r="L159" s="457">
        <f t="shared" si="132"/>
        <v>0</v>
      </c>
      <c r="M159" s="437"/>
      <c r="N159" s="437">
        <f t="shared" si="140"/>
        <v>0</v>
      </c>
      <c r="O159" s="437">
        <f t="shared" si="141"/>
        <v>0</v>
      </c>
      <c r="P159" s="437">
        <f t="shared" si="142"/>
        <v>0</v>
      </c>
      <c r="Q159" s="464"/>
      <c r="R159" s="464"/>
      <c r="S159" s="465"/>
      <c r="T159" s="465"/>
      <c r="U159" s="463">
        <f t="shared" si="122"/>
        <v>0</v>
      </c>
      <c r="V159" s="464">
        <f t="shared" si="123"/>
        <v>0</v>
      </c>
    </row>
    <row r="160" s="197" customFormat="1" ht="18" customHeight="1" spans="1:22">
      <c r="A160" s="471"/>
      <c r="B160" s="472"/>
      <c r="C160" s="473"/>
      <c r="D160" s="473"/>
      <c r="E160" s="473"/>
      <c r="F160" s="457">
        <f t="shared" si="131"/>
        <v>0</v>
      </c>
      <c r="G160" s="278" t="s">
        <v>891</v>
      </c>
      <c r="H160" s="446">
        <f t="shared" ref="H160:K160" si="143">SUM(H161:H169)</f>
        <v>0</v>
      </c>
      <c r="I160" s="446">
        <f t="shared" si="143"/>
        <v>0</v>
      </c>
      <c r="J160" s="446">
        <f t="shared" si="143"/>
        <v>0</v>
      </c>
      <c r="K160" s="446">
        <f t="shared" si="143"/>
        <v>0</v>
      </c>
      <c r="L160" s="457">
        <f t="shared" si="132"/>
        <v>0</v>
      </c>
      <c r="M160" s="446">
        <f t="shared" ref="M160:T160" si="144">SUM(M161:M169)</f>
        <v>0</v>
      </c>
      <c r="N160" s="446">
        <f t="shared" si="144"/>
        <v>0</v>
      </c>
      <c r="O160" s="446">
        <f t="shared" si="144"/>
        <v>0</v>
      </c>
      <c r="P160" s="446">
        <f t="shared" si="144"/>
        <v>0</v>
      </c>
      <c r="Q160" s="446">
        <f t="shared" si="144"/>
        <v>0</v>
      </c>
      <c r="R160" s="446">
        <f t="shared" si="144"/>
        <v>0</v>
      </c>
      <c r="S160" s="468">
        <f t="shared" si="144"/>
        <v>0</v>
      </c>
      <c r="T160" s="468">
        <f t="shared" si="144"/>
        <v>0</v>
      </c>
      <c r="U160" s="463">
        <f t="shared" si="122"/>
        <v>0</v>
      </c>
      <c r="V160" s="464">
        <f t="shared" si="123"/>
        <v>0</v>
      </c>
    </row>
    <row r="161" s="197" customFormat="1" ht="18" customHeight="1" spans="1:22">
      <c r="A161" s="471"/>
      <c r="B161" s="472"/>
      <c r="C161" s="473"/>
      <c r="D161" s="473"/>
      <c r="E161" s="473"/>
      <c r="F161" s="457">
        <f t="shared" si="131"/>
        <v>0</v>
      </c>
      <c r="G161" s="478" t="s">
        <v>892</v>
      </c>
      <c r="H161" s="432"/>
      <c r="I161" s="432">
        <v>0</v>
      </c>
      <c r="J161" s="432"/>
      <c r="K161" s="432"/>
      <c r="L161" s="457">
        <f t="shared" si="132"/>
        <v>0</v>
      </c>
      <c r="M161" s="432"/>
      <c r="N161" s="437">
        <f t="shared" ref="N161:N169" si="145">L161-J161</f>
        <v>0</v>
      </c>
      <c r="O161" s="437">
        <f t="shared" ref="O161:O169" si="146">L161-J161</f>
        <v>0</v>
      </c>
      <c r="P161" s="437">
        <f t="shared" ref="P161:P169" si="147">M161-K161</f>
        <v>0</v>
      </c>
      <c r="Q161" s="464"/>
      <c r="R161" s="464"/>
      <c r="S161" s="465"/>
      <c r="T161" s="465"/>
      <c r="U161" s="463">
        <f t="shared" si="122"/>
        <v>0</v>
      </c>
      <c r="V161" s="464">
        <f t="shared" si="123"/>
        <v>0</v>
      </c>
    </row>
    <row r="162" s="197" customFormat="1" ht="18" customHeight="1" spans="1:22">
      <c r="A162" s="471"/>
      <c r="B162" s="472"/>
      <c r="C162" s="473"/>
      <c r="D162" s="473"/>
      <c r="E162" s="473"/>
      <c r="F162" s="457">
        <f t="shared" si="131"/>
        <v>0</v>
      </c>
      <c r="G162" s="42" t="s">
        <v>893</v>
      </c>
      <c r="H162" s="432"/>
      <c r="I162" s="437">
        <v>0</v>
      </c>
      <c r="J162" s="437"/>
      <c r="K162" s="437"/>
      <c r="L162" s="457">
        <f t="shared" si="132"/>
        <v>0</v>
      </c>
      <c r="M162" s="437"/>
      <c r="N162" s="437">
        <f t="shared" si="145"/>
        <v>0</v>
      </c>
      <c r="O162" s="437">
        <f t="shared" si="146"/>
        <v>0</v>
      </c>
      <c r="P162" s="437">
        <f t="shared" si="147"/>
        <v>0</v>
      </c>
      <c r="Q162" s="464"/>
      <c r="R162" s="464"/>
      <c r="S162" s="465"/>
      <c r="T162" s="465"/>
      <c r="U162" s="463">
        <f t="shared" si="122"/>
        <v>0</v>
      </c>
      <c r="V162" s="464">
        <f t="shared" si="123"/>
        <v>0</v>
      </c>
    </row>
    <row r="163" s="197" customFormat="1" ht="18" customHeight="1" spans="1:22">
      <c r="A163" s="471"/>
      <c r="B163" s="472"/>
      <c r="C163" s="473"/>
      <c r="D163" s="473"/>
      <c r="E163" s="473"/>
      <c r="F163" s="457">
        <f t="shared" si="131"/>
        <v>0</v>
      </c>
      <c r="G163" s="42" t="s">
        <v>894</v>
      </c>
      <c r="H163" s="432"/>
      <c r="I163" s="437">
        <v>0</v>
      </c>
      <c r="J163" s="437"/>
      <c r="K163" s="437"/>
      <c r="L163" s="457">
        <f t="shared" si="132"/>
        <v>0</v>
      </c>
      <c r="M163" s="437"/>
      <c r="N163" s="437">
        <f t="shared" si="145"/>
        <v>0</v>
      </c>
      <c r="O163" s="437">
        <f t="shared" si="146"/>
        <v>0</v>
      </c>
      <c r="P163" s="437">
        <f t="shared" si="147"/>
        <v>0</v>
      </c>
      <c r="Q163" s="464"/>
      <c r="R163" s="464"/>
      <c r="S163" s="465"/>
      <c r="T163" s="465"/>
      <c r="U163" s="463">
        <f t="shared" si="122"/>
        <v>0</v>
      </c>
      <c r="V163" s="464">
        <f t="shared" si="123"/>
        <v>0</v>
      </c>
    </row>
    <row r="164" s="197" customFormat="1" ht="18" customHeight="1" spans="1:22">
      <c r="A164" s="471"/>
      <c r="B164" s="472"/>
      <c r="C164" s="473"/>
      <c r="D164" s="473"/>
      <c r="E164" s="473"/>
      <c r="F164" s="457">
        <f t="shared" si="131"/>
        <v>0</v>
      </c>
      <c r="G164" s="42" t="s">
        <v>895</v>
      </c>
      <c r="H164" s="432"/>
      <c r="I164" s="437">
        <v>0</v>
      </c>
      <c r="J164" s="437"/>
      <c r="K164" s="437"/>
      <c r="L164" s="457">
        <f t="shared" si="132"/>
        <v>0</v>
      </c>
      <c r="M164" s="437"/>
      <c r="N164" s="437">
        <f t="shared" si="145"/>
        <v>0</v>
      </c>
      <c r="O164" s="437">
        <f t="shared" si="146"/>
        <v>0</v>
      </c>
      <c r="P164" s="437">
        <f t="shared" si="147"/>
        <v>0</v>
      </c>
      <c r="Q164" s="464"/>
      <c r="R164" s="464"/>
      <c r="S164" s="465"/>
      <c r="T164" s="465"/>
      <c r="U164" s="463">
        <f t="shared" si="122"/>
        <v>0</v>
      </c>
      <c r="V164" s="464">
        <f t="shared" si="123"/>
        <v>0</v>
      </c>
    </row>
    <row r="165" s="197" customFormat="1" ht="18" customHeight="1" spans="1:22">
      <c r="A165" s="471"/>
      <c r="B165" s="472"/>
      <c r="C165" s="473"/>
      <c r="D165" s="473"/>
      <c r="E165" s="473"/>
      <c r="F165" s="457">
        <f t="shared" si="131"/>
        <v>0</v>
      </c>
      <c r="G165" s="42" t="s">
        <v>896</v>
      </c>
      <c r="H165" s="432"/>
      <c r="I165" s="437">
        <v>0</v>
      </c>
      <c r="J165" s="437"/>
      <c r="K165" s="437"/>
      <c r="L165" s="457">
        <f t="shared" si="132"/>
        <v>0</v>
      </c>
      <c r="M165" s="437"/>
      <c r="N165" s="437">
        <f t="shared" si="145"/>
        <v>0</v>
      </c>
      <c r="O165" s="437">
        <f t="shared" si="146"/>
        <v>0</v>
      </c>
      <c r="P165" s="437">
        <f t="shared" si="147"/>
        <v>0</v>
      </c>
      <c r="Q165" s="464"/>
      <c r="R165" s="464"/>
      <c r="S165" s="465"/>
      <c r="T165" s="465"/>
      <c r="U165" s="463">
        <f t="shared" si="122"/>
        <v>0</v>
      </c>
      <c r="V165" s="464">
        <f t="shared" si="123"/>
        <v>0</v>
      </c>
    </row>
    <row r="166" s="197" customFormat="1" ht="18" customHeight="1" spans="1:22">
      <c r="A166" s="471"/>
      <c r="B166" s="472"/>
      <c r="C166" s="473"/>
      <c r="D166" s="473"/>
      <c r="E166" s="473"/>
      <c r="F166" s="457">
        <f t="shared" si="131"/>
        <v>0</v>
      </c>
      <c r="G166" s="42" t="s">
        <v>897</v>
      </c>
      <c r="H166" s="432"/>
      <c r="I166" s="437">
        <v>0</v>
      </c>
      <c r="J166" s="437"/>
      <c r="K166" s="437"/>
      <c r="L166" s="457">
        <f t="shared" si="132"/>
        <v>0</v>
      </c>
      <c r="M166" s="437"/>
      <c r="N166" s="437">
        <f t="shared" si="145"/>
        <v>0</v>
      </c>
      <c r="O166" s="437">
        <f t="shared" si="146"/>
        <v>0</v>
      </c>
      <c r="P166" s="437">
        <f t="shared" si="147"/>
        <v>0</v>
      </c>
      <c r="Q166" s="464"/>
      <c r="R166" s="464"/>
      <c r="S166" s="465"/>
      <c r="T166" s="465"/>
      <c r="U166" s="463">
        <f t="shared" si="122"/>
        <v>0</v>
      </c>
      <c r="V166" s="464">
        <f t="shared" si="123"/>
        <v>0</v>
      </c>
    </row>
    <row r="167" s="197" customFormat="1" ht="18" customHeight="1" spans="1:22">
      <c r="A167" s="471"/>
      <c r="B167" s="472"/>
      <c r="C167" s="473"/>
      <c r="D167" s="473"/>
      <c r="E167" s="473"/>
      <c r="F167" s="457">
        <f t="shared" si="131"/>
        <v>0</v>
      </c>
      <c r="G167" s="42" t="s">
        <v>898</v>
      </c>
      <c r="H167" s="432"/>
      <c r="I167" s="437">
        <v>0</v>
      </c>
      <c r="J167" s="437"/>
      <c r="K167" s="437"/>
      <c r="L167" s="457">
        <f t="shared" si="132"/>
        <v>0</v>
      </c>
      <c r="M167" s="437"/>
      <c r="N167" s="437">
        <f t="shared" si="145"/>
        <v>0</v>
      </c>
      <c r="O167" s="437">
        <f t="shared" si="146"/>
        <v>0</v>
      </c>
      <c r="P167" s="437">
        <f t="shared" si="147"/>
        <v>0</v>
      </c>
      <c r="Q167" s="464"/>
      <c r="R167" s="464"/>
      <c r="S167" s="465"/>
      <c r="T167" s="465"/>
      <c r="U167" s="463">
        <f t="shared" si="122"/>
        <v>0</v>
      </c>
      <c r="V167" s="464">
        <f t="shared" si="123"/>
        <v>0</v>
      </c>
    </row>
    <row r="168" s="197" customFormat="1" ht="18" customHeight="1" spans="1:22">
      <c r="A168" s="471"/>
      <c r="B168" s="472"/>
      <c r="C168" s="473"/>
      <c r="D168" s="473"/>
      <c r="E168" s="473"/>
      <c r="F168" s="457">
        <f t="shared" si="131"/>
        <v>0</v>
      </c>
      <c r="G168" s="42" t="s">
        <v>899</v>
      </c>
      <c r="H168" s="432"/>
      <c r="I168" s="437">
        <v>0</v>
      </c>
      <c r="J168" s="437"/>
      <c r="K168" s="437"/>
      <c r="L168" s="457">
        <f t="shared" si="132"/>
        <v>0</v>
      </c>
      <c r="M168" s="437"/>
      <c r="N168" s="437">
        <f t="shared" si="145"/>
        <v>0</v>
      </c>
      <c r="O168" s="437">
        <f t="shared" si="146"/>
        <v>0</v>
      </c>
      <c r="P168" s="437">
        <f t="shared" si="147"/>
        <v>0</v>
      </c>
      <c r="Q168" s="464"/>
      <c r="R168" s="464"/>
      <c r="S168" s="465"/>
      <c r="T168" s="465"/>
      <c r="U168" s="463">
        <f t="shared" si="122"/>
        <v>0</v>
      </c>
      <c r="V168" s="464">
        <f t="shared" si="123"/>
        <v>0</v>
      </c>
    </row>
    <row r="169" s="197" customFormat="1" ht="18" customHeight="1" spans="1:22">
      <c r="A169" s="471"/>
      <c r="B169" s="472"/>
      <c r="C169" s="473"/>
      <c r="D169" s="473"/>
      <c r="E169" s="473"/>
      <c r="F169" s="457">
        <f t="shared" si="131"/>
        <v>0</v>
      </c>
      <c r="G169" s="42" t="s">
        <v>900</v>
      </c>
      <c r="H169" s="432"/>
      <c r="I169" s="437">
        <v>0</v>
      </c>
      <c r="J169" s="437"/>
      <c r="K169" s="437"/>
      <c r="L169" s="457">
        <f t="shared" si="132"/>
        <v>0</v>
      </c>
      <c r="M169" s="437"/>
      <c r="N169" s="437">
        <f t="shared" si="145"/>
        <v>0</v>
      </c>
      <c r="O169" s="437">
        <f t="shared" si="146"/>
        <v>0</v>
      </c>
      <c r="P169" s="437">
        <f t="shared" si="147"/>
        <v>0</v>
      </c>
      <c r="Q169" s="464"/>
      <c r="R169" s="464"/>
      <c r="S169" s="465"/>
      <c r="T169" s="465"/>
      <c r="U169" s="463">
        <f t="shared" si="122"/>
        <v>0</v>
      </c>
      <c r="V169" s="464">
        <f t="shared" si="123"/>
        <v>0</v>
      </c>
    </row>
    <row r="170" s="197" customFormat="1" ht="18" customHeight="1" spans="1:22">
      <c r="A170" s="471"/>
      <c r="B170" s="472"/>
      <c r="C170" s="473"/>
      <c r="D170" s="473"/>
      <c r="E170" s="473"/>
      <c r="F170" s="457">
        <f t="shared" si="131"/>
        <v>0</v>
      </c>
      <c r="G170" s="278" t="s">
        <v>901</v>
      </c>
      <c r="H170" s="446">
        <f t="shared" ref="H170:K170" si="148">SUM(H171:H172)</f>
        <v>0</v>
      </c>
      <c r="I170" s="446">
        <f t="shared" si="148"/>
        <v>0</v>
      </c>
      <c r="J170" s="446">
        <f t="shared" si="148"/>
        <v>0</v>
      </c>
      <c r="K170" s="446">
        <f t="shared" si="148"/>
        <v>0</v>
      </c>
      <c r="L170" s="456">
        <f t="shared" si="132"/>
        <v>0</v>
      </c>
      <c r="M170" s="446">
        <f t="shared" ref="M170:T170" si="149">SUM(M171:M172)</f>
        <v>0</v>
      </c>
      <c r="N170" s="446">
        <f t="shared" si="149"/>
        <v>0</v>
      </c>
      <c r="O170" s="446">
        <f t="shared" si="149"/>
        <v>0</v>
      </c>
      <c r="P170" s="446">
        <f t="shared" si="149"/>
        <v>0</v>
      </c>
      <c r="Q170" s="446">
        <f t="shared" si="149"/>
        <v>0</v>
      </c>
      <c r="R170" s="446">
        <f t="shared" si="149"/>
        <v>0</v>
      </c>
      <c r="S170" s="468">
        <f t="shared" si="149"/>
        <v>0</v>
      </c>
      <c r="T170" s="468">
        <f t="shared" si="149"/>
        <v>0</v>
      </c>
      <c r="U170" s="463">
        <f t="shared" si="122"/>
        <v>0</v>
      </c>
      <c r="V170" s="464">
        <f t="shared" si="123"/>
        <v>0</v>
      </c>
    </row>
    <row r="171" s="197" customFormat="1" ht="18" customHeight="1" spans="1:22">
      <c r="A171" s="471"/>
      <c r="B171" s="472"/>
      <c r="C171" s="473"/>
      <c r="D171" s="473"/>
      <c r="E171" s="473"/>
      <c r="F171" s="457">
        <f t="shared" si="131"/>
        <v>0</v>
      </c>
      <c r="G171" s="478" t="s">
        <v>867</v>
      </c>
      <c r="H171" s="432"/>
      <c r="I171" s="432">
        <v>0</v>
      </c>
      <c r="J171" s="432"/>
      <c r="K171" s="432"/>
      <c r="L171" s="456">
        <f t="shared" si="132"/>
        <v>0</v>
      </c>
      <c r="M171" s="432"/>
      <c r="N171" s="437">
        <f t="shared" ref="N171:N176" si="150">L171-J171</f>
        <v>0</v>
      </c>
      <c r="O171" s="437">
        <f t="shared" ref="O171:O176" si="151">L171-J171</f>
        <v>0</v>
      </c>
      <c r="P171" s="437">
        <f t="shared" ref="P171:P176" si="152">M171-K171</f>
        <v>0</v>
      </c>
      <c r="Q171" s="464"/>
      <c r="R171" s="464"/>
      <c r="S171" s="465"/>
      <c r="T171" s="465"/>
      <c r="U171" s="463">
        <f t="shared" si="122"/>
        <v>0</v>
      </c>
      <c r="V171" s="464">
        <f t="shared" si="123"/>
        <v>0</v>
      </c>
    </row>
    <row r="172" s="197" customFormat="1" ht="18" customHeight="1" spans="1:22">
      <c r="A172" s="471"/>
      <c r="B172" s="472"/>
      <c r="C172" s="473"/>
      <c r="D172" s="473"/>
      <c r="E172" s="473"/>
      <c r="F172" s="457">
        <f t="shared" si="131"/>
        <v>0</v>
      </c>
      <c r="G172" s="42" t="s">
        <v>902</v>
      </c>
      <c r="H172" s="432"/>
      <c r="I172" s="437">
        <v>0</v>
      </c>
      <c r="J172" s="437"/>
      <c r="K172" s="437"/>
      <c r="L172" s="456">
        <f t="shared" si="132"/>
        <v>0</v>
      </c>
      <c r="M172" s="437"/>
      <c r="N172" s="437">
        <f t="shared" si="150"/>
        <v>0</v>
      </c>
      <c r="O172" s="437">
        <f t="shared" si="151"/>
        <v>0</v>
      </c>
      <c r="P172" s="437">
        <f t="shared" si="152"/>
        <v>0</v>
      </c>
      <c r="Q172" s="464"/>
      <c r="R172" s="464"/>
      <c r="S172" s="465"/>
      <c r="T172" s="465"/>
      <c r="U172" s="463">
        <f t="shared" si="122"/>
        <v>0</v>
      </c>
      <c r="V172" s="464">
        <f t="shared" si="123"/>
        <v>0</v>
      </c>
    </row>
    <row r="173" s="197" customFormat="1" ht="18" customHeight="1" spans="1:22">
      <c r="A173" s="471"/>
      <c r="B173" s="472"/>
      <c r="C173" s="473"/>
      <c r="D173" s="473"/>
      <c r="E173" s="473"/>
      <c r="F173" s="457">
        <f t="shared" si="131"/>
        <v>0</v>
      </c>
      <c r="G173" s="278" t="s">
        <v>903</v>
      </c>
      <c r="H173" s="446">
        <f t="shared" ref="H173:K173" si="153">SUM(H174:H175)</f>
        <v>0</v>
      </c>
      <c r="I173" s="446">
        <f t="shared" si="153"/>
        <v>0</v>
      </c>
      <c r="J173" s="446">
        <f t="shared" si="153"/>
        <v>0</v>
      </c>
      <c r="K173" s="446">
        <f t="shared" si="153"/>
        <v>0</v>
      </c>
      <c r="L173" s="456">
        <f t="shared" si="132"/>
        <v>0</v>
      </c>
      <c r="M173" s="446">
        <f t="shared" ref="M173:T173" si="154">SUM(M174:M175)</f>
        <v>0</v>
      </c>
      <c r="N173" s="446">
        <f t="shared" si="154"/>
        <v>0</v>
      </c>
      <c r="O173" s="446">
        <f t="shared" si="154"/>
        <v>0</v>
      </c>
      <c r="P173" s="446">
        <f t="shared" si="154"/>
        <v>0</v>
      </c>
      <c r="Q173" s="446">
        <f t="shared" si="154"/>
        <v>0</v>
      </c>
      <c r="R173" s="446">
        <f t="shared" si="154"/>
        <v>0</v>
      </c>
      <c r="S173" s="468">
        <f t="shared" si="154"/>
        <v>0</v>
      </c>
      <c r="T173" s="468">
        <f t="shared" si="154"/>
        <v>0</v>
      </c>
      <c r="U173" s="463">
        <f t="shared" si="122"/>
        <v>0</v>
      </c>
      <c r="V173" s="464">
        <f t="shared" si="123"/>
        <v>0</v>
      </c>
    </row>
    <row r="174" s="197" customFormat="1" ht="18" customHeight="1" spans="1:22">
      <c r="A174" s="471"/>
      <c r="B174" s="472"/>
      <c r="C174" s="473"/>
      <c r="D174" s="473"/>
      <c r="E174" s="473"/>
      <c r="F174" s="457">
        <f t="shared" si="131"/>
        <v>0</v>
      </c>
      <c r="G174" s="42" t="s">
        <v>867</v>
      </c>
      <c r="H174" s="432"/>
      <c r="I174" s="432">
        <v>0</v>
      </c>
      <c r="J174" s="432"/>
      <c r="K174" s="432"/>
      <c r="L174" s="456">
        <f t="shared" si="132"/>
        <v>0</v>
      </c>
      <c r="M174" s="432"/>
      <c r="N174" s="437">
        <f t="shared" si="150"/>
        <v>0</v>
      </c>
      <c r="O174" s="437">
        <f t="shared" si="151"/>
        <v>0</v>
      </c>
      <c r="P174" s="437">
        <f t="shared" si="152"/>
        <v>0</v>
      </c>
      <c r="Q174" s="464"/>
      <c r="R174" s="464"/>
      <c r="S174" s="465"/>
      <c r="T174" s="465"/>
      <c r="U174" s="463">
        <f t="shared" si="122"/>
        <v>0</v>
      </c>
      <c r="V174" s="464">
        <f t="shared" si="123"/>
        <v>0</v>
      </c>
    </row>
    <row r="175" s="197" customFormat="1" ht="18" customHeight="1" spans="1:22">
      <c r="A175" s="471"/>
      <c r="B175" s="472"/>
      <c r="C175" s="473"/>
      <c r="D175" s="473"/>
      <c r="E175" s="473"/>
      <c r="F175" s="457">
        <f t="shared" si="131"/>
        <v>0</v>
      </c>
      <c r="G175" s="42" t="s">
        <v>904</v>
      </c>
      <c r="H175" s="432"/>
      <c r="I175" s="437">
        <v>0</v>
      </c>
      <c r="J175" s="437"/>
      <c r="K175" s="437"/>
      <c r="L175" s="456">
        <f t="shared" si="132"/>
        <v>0</v>
      </c>
      <c r="M175" s="437"/>
      <c r="N175" s="437">
        <f t="shared" si="150"/>
        <v>0</v>
      </c>
      <c r="O175" s="437">
        <f t="shared" si="151"/>
        <v>0</v>
      </c>
      <c r="P175" s="437">
        <f t="shared" si="152"/>
        <v>0</v>
      </c>
      <c r="Q175" s="464"/>
      <c r="R175" s="464"/>
      <c r="S175" s="465"/>
      <c r="T175" s="465"/>
      <c r="U175" s="463">
        <f t="shared" si="122"/>
        <v>0</v>
      </c>
      <c r="V175" s="464">
        <f t="shared" si="123"/>
        <v>0</v>
      </c>
    </row>
    <row r="176" s="197" customFormat="1" ht="18" customHeight="1" spans="1:22">
      <c r="A176" s="471"/>
      <c r="B176" s="472"/>
      <c r="C176" s="473"/>
      <c r="D176" s="473"/>
      <c r="E176" s="473"/>
      <c r="F176" s="457">
        <f t="shared" si="131"/>
        <v>0</v>
      </c>
      <c r="G176" s="278" t="s">
        <v>905</v>
      </c>
      <c r="H176" s="435"/>
      <c r="I176" s="435"/>
      <c r="J176" s="435"/>
      <c r="K176" s="435"/>
      <c r="L176" s="456">
        <f t="shared" si="132"/>
        <v>0</v>
      </c>
      <c r="M176" s="435"/>
      <c r="N176" s="437">
        <f t="shared" si="150"/>
        <v>0</v>
      </c>
      <c r="O176" s="437">
        <f t="shared" si="151"/>
        <v>0</v>
      </c>
      <c r="P176" s="437">
        <f t="shared" si="152"/>
        <v>0</v>
      </c>
      <c r="Q176" s="464"/>
      <c r="R176" s="464"/>
      <c r="S176" s="465"/>
      <c r="T176" s="465"/>
      <c r="U176" s="463">
        <f t="shared" si="122"/>
        <v>0</v>
      </c>
      <c r="V176" s="464">
        <f t="shared" si="123"/>
        <v>0</v>
      </c>
    </row>
    <row r="177" s="197" customFormat="1" ht="18" customHeight="1" spans="1:22">
      <c r="A177" s="471"/>
      <c r="B177" s="472"/>
      <c r="C177" s="473"/>
      <c r="D177" s="473"/>
      <c r="E177" s="473"/>
      <c r="F177" s="457">
        <f t="shared" si="131"/>
        <v>0</v>
      </c>
      <c r="G177" s="278" t="s">
        <v>906</v>
      </c>
      <c r="H177" s="435">
        <f t="shared" ref="H177:K177" si="155">H178+H182</f>
        <v>0</v>
      </c>
      <c r="I177" s="435">
        <f t="shared" si="155"/>
        <v>0</v>
      </c>
      <c r="J177" s="435">
        <f t="shared" si="155"/>
        <v>411</v>
      </c>
      <c r="K177" s="435">
        <f t="shared" si="155"/>
        <v>137</v>
      </c>
      <c r="L177" s="457"/>
      <c r="M177" s="435">
        <f t="shared" ref="M177:T177" si="156">M178+M182</f>
        <v>0</v>
      </c>
      <c r="N177" s="435">
        <f t="shared" si="156"/>
        <v>0</v>
      </c>
      <c r="O177" s="435">
        <f t="shared" si="156"/>
        <v>0</v>
      </c>
      <c r="P177" s="435">
        <f t="shared" si="156"/>
        <v>557</v>
      </c>
      <c r="Q177" s="435">
        <f t="shared" si="156"/>
        <v>0</v>
      </c>
      <c r="R177" s="435">
        <f t="shared" si="156"/>
        <v>0</v>
      </c>
      <c r="S177" s="466">
        <f t="shared" si="156"/>
        <v>0</v>
      </c>
      <c r="T177" s="466">
        <f t="shared" si="156"/>
        <v>0</v>
      </c>
      <c r="U177" s="463">
        <f t="shared" si="122"/>
        <v>557</v>
      </c>
      <c r="V177" s="464">
        <f t="shared" si="123"/>
        <v>420</v>
      </c>
    </row>
    <row r="178" s="197" customFormat="1" ht="18" customHeight="1" spans="1:22">
      <c r="A178" s="471"/>
      <c r="B178" s="472"/>
      <c r="C178" s="473"/>
      <c r="D178" s="473"/>
      <c r="E178" s="473"/>
      <c r="F178" s="457">
        <f t="shared" si="131"/>
        <v>0</v>
      </c>
      <c r="G178" s="278" t="s">
        <v>907</v>
      </c>
      <c r="H178" s="435">
        <f t="shared" ref="H178:K178" si="157">SUM(H179:H181)</f>
        <v>0</v>
      </c>
      <c r="I178" s="435">
        <f t="shared" si="157"/>
        <v>0</v>
      </c>
      <c r="J178" s="435">
        <f t="shared" si="157"/>
        <v>0</v>
      </c>
      <c r="K178" s="435">
        <f t="shared" si="157"/>
        <v>0</v>
      </c>
      <c r="L178" s="457"/>
      <c r="M178" s="435">
        <f t="shared" ref="M178:T178" si="158">SUM(M179:M181)</f>
        <v>0</v>
      </c>
      <c r="N178" s="435">
        <f t="shared" si="158"/>
        <v>0</v>
      </c>
      <c r="O178" s="435">
        <f t="shared" si="158"/>
        <v>0</v>
      </c>
      <c r="P178" s="435">
        <f t="shared" si="158"/>
        <v>0</v>
      </c>
      <c r="Q178" s="435">
        <f t="shared" si="158"/>
        <v>0</v>
      </c>
      <c r="R178" s="435">
        <f t="shared" si="158"/>
        <v>0</v>
      </c>
      <c r="S178" s="466">
        <f t="shared" si="158"/>
        <v>0</v>
      </c>
      <c r="T178" s="466">
        <f t="shared" si="158"/>
        <v>0</v>
      </c>
      <c r="U178" s="463">
        <f t="shared" si="122"/>
        <v>0</v>
      </c>
      <c r="V178" s="464">
        <f t="shared" si="123"/>
        <v>0</v>
      </c>
    </row>
    <row r="179" s="197" customFormat="1" ht="18" customHeight="1" spans="1:22">
      <c r="A179" s="471"/>
      <c r="B179" s="472"/>
      <c r="C179" s="473"/>
      <c r="D179" s="473"/>
      <c r="E179" s="473"/>
      <c r="F179" s="457"/>
      <c r="G179" s="42" t="s">
        <v>908</v>
      </c>
      <c r="H179" s="437"/>
      <c r="I179" s="437">
        <v>0</v>
      </c>
      <c r="J179" s="437"/>
      <c r="K179" s="437"/>
      <c r="L179" s="457"/>
      <c r="M179" s="437"/>
      <c r="N179" s="437">
        <f t="shared" ref="N179:N181" si="159">L179-J179</f>
        <v>0</v>
      </c>
      <c r="O179" s="437">
        <f t="shared" ref="O179:O181" si="160">L179-J179</f>
        <v>0</v>
      </c>
      <c r="P179" s="437">
        <f t="shared" ref="P179:P181" si="161">M179-K179</f>
        <v>0</v>
      </c>
      <c r="Q179" s="464"/>
      <c r="R179" s="464"/>
      <c r="S179" s="465"/>
      <c r="T179" s="465"/>
      <c r="U179" s="463">
        <f t="shared" si="122"/>
        <v>0</v>
      </c>
      <c r="V179" s="464">
        <f t="shared" si="123"/>
        <v>0</v>
      </c>
    </row>
    <row r="180" s="197" customFormat="1" ht="18" customHeight="1" spans="1:22">
      <c r="A180" s="471"/>
      <c r="B180" s="472"/>
      <c r="C180" s="473"/>
      <c r="D180" s="473"/>
      <c r="E180" s="473"/>
      <c r="F180" s="457"/>
      <c r="G180" s="42" t="s">
        <v>909</v>
      </c>
      <c r="H180" s="437"/>
      <c r="I180" s="437">
        <v>0</v>
      </c>
      <c r="J180" s="437"/>
      <c r="K180" s="437"/>
      <c r="L180" s="457"/>
      <c r="M180" s="437"/>
      <c r="N180" s="437">
        <f t="shared" si="159"/>
        <v>0</v>
      </c>
      <c r="O180" s="437">
        <f t="shared" si="160"/>
        <v>0</v>
      </c>
      <c r="P180" s="437">
        <f t="shared" si="161"/>
        <v>0</v>
      </c>
      <c r="Q180" s="464"/>
      <c r="R180" s="464"/>
      <c r="S180" s="465"/>
      <c r="T180" s="465"/>
      <c r="U180" s="463">
        <f t="shared" si="122"/>
        <v>0</v>
      </c>
      <c r="V180" s="464">
        <f t="shared" si="123"/>
        <v>0</v>
      </c>
    </row>
    <row r="181" s="197" customFormat="1" ht="18" customHeight="1" spans="1:22">
      <c r="A181" s="471"/>
      <c r="B181" s="472"/>
      <c r="C181" s="473"/>
      <c r="D181" s="473"/>
      <c r="E181" s="473"/>
      <c r="F181" s="457"/>
      <c r="G181" s="122" t="s">
        <v>910</v>
      </c>
      <c r="H181" s="437"/>
      <c r="I181" s="437">
        <v>0</v>
      </c>
      <c r="J181" s="437"/>
      <c r="K181" s="437"/>
      <c r="L181" s="457"/>
      <c r="M181" s="437"/>
      <c r="N181" s="437">
        <f t="shared" si="159"/>
        <v>0</v>
      </c>
      <c r="O181" s="437">
        <f t="shared" si="160"/>
        <v>0</v>
      </c>
      <c r="P181" s="437">
        <f t="shared" si="161"/>
        <v>0</v>
      </c>
      <c r="Q181" s="464"/>
      <c r="R181" s="464"/>
      <c r="S181" s="465"/>
      <c r="T181" s="465"/>
      <c r="U181" s="463">
        <f t="shared" si="122"/>
        <v>0</v>
      </c>
      <c r="V181" s="464">
        <f t="shared" si="123"/>
        <v>0</v>
      </c>
    </row>
    <row r="182" s="197" customFormat="1" ht="18" customHeight="1" spans="1:22">
      <c r="A182" s="471"/>
      <c r="B182" s="472"/>
      <c r="C182" s="473"/>
      <c r="D182" s="473"/>
      <c r="E182" s="473"/>
      <c r="F182" s="457"/>
      <c r="G182" s="278" t="s">
        <v>911</v>
      </c>
      <c r="H182" s="435"/>
      <c r="I182" s="435"/>
      <c r="J182" s="435">
        <v>411</v>
      </c>
      <c r="K182" s="435">
        <v>137</v>
      </c>
      <c r="L182" s="457"/>
      <c r="M182" s="435"/>
      <c r="N182" s="437"/>
      <c r="O182" s="437"/>
      <c r="P182" s="437">
        <v>557</v>
      </c>
      <c r="Q182" s="464"/>
      <c r="R182" s="464"/>
      <c r="S182" s="465"/>
      <c r="T182" s="465"/>
      <c r="U182" s="463">
        <f t="shared" si="122"/>
        <v>557</v>
      </c>
      <c r="V182" s="464">
        <f t="shared" si="123"/>
        <v>420</v>
      </c>
    </row>
    <row r="183" s="197" customFormat="1" ht="18" customHeight="1" spans="1:22">
      <c r="A183" s="471"/>
      <c r="B183" s="472"/>
      <c r="C183" s="473"/>
      <c r="D183" s="473"/>
      <c r="E183" s="473"/>
      <c r="F183" s="457"/>
      <c r="G183" s="278" t="s">
        <v>912</v>
      </c>
      <c r="H183" s="435">
        <f t="shared" ref="H183:K183" si="162">H184</f>
        <v>0</v>
      </c>
      <c r="I183" s="435">
        <f t="shared" si="162"/>
        <v>0</v>
      </c>
      <c r="J183" s="435">
        <f t="shared" si="162"/>
        <v>0</v>
      </c>
      <c r="K183" s="435">
        <f t="shared" si="162"/>
        <v>0</v>
      </c>
      <c r="L183" s="457"/>
      <c r="M183" s="435">
        <f t="shared" ref="M183:T183" si="163">M184</f>
        <v>0</v>
      </c>
      <c r="N183" s="435">
        <f t="shared" si="163"/>
        <v>0</v>
      </c>
      <c r="O183" s="435">
        <f t="shared" si="163"/>
        <v>0</v>
      </c>
      <c r="P183" s="435">
        <f t="shared" si="163"/>
        <v>0</v>
      </c>
      <c r="Q183" s="435">
        <f t="shared" si="163"/>
        <v>0</v>
      </c>
      <c r="R183" s="435">
        <f t="shared" si="163"/>
        <v>0</v>
      </c>
      <c r="S183" s="466">
        <f t="shared" si="163"/>
        <v>0</v>
      </c>
      <c r="T183" s="466">
        <f t="shared" si="163"/>
        <v>0</v>
      </c>
      <c r="U183" s="463">
        <f t="shared" si="122"/>
        <v>0</v>
      </c>
      <c r="V183" s="464">
        <f t="shared" si="123"/>
        <v>0</v>
      </c>
    </row>
    <row r="184" s="197" customFormat="1" ht="18" customHeight="1" spans="1:22">
      <c r="A184" s="471"/>
      <c r="B184" s="472"/>
      <c r="C184" s="473"/>
      <c r="D184" s="473"/>
      <c r="E184" s="473"/>
      <c r="F184" s="457"/>
      <c r="G184" s="278" t="s">
        <v>913</v>
      </c>
      <c r="H184" s="435">
        <f t="shared" ref="H184:K184" si="164">SUM(H185:H186)</f>
        <v>0</v>
      </c>
      <c r="I184" s="435">
        <f t="shared" si="164"/>
        <v>0</v>
      </c>
      <c r="J184" s="435">
        <f t="shared" si="164"/>
        <v>0</v>
      </c>
      <c r="K184" s="435">
        <f t="shared" si="164"/>
        <v>0</v>
      </c>
      <c r="L184" s="457"/>
      <c r="M184" s="435">
        <f t="shared" ref="M184:T184" si="165">SUM(M185:M186)</f>
        <v>0</v>
      </c>
      <c r="N184" s="435">
        <f t="shared" si="165"/>
        <v>0</v>
      </c>
      <c r="O184" s="435">
        <f t="shared" si="165"/>
        <v>0</v>
      </c>
      <c r="P184" s="435">
        <f t="shared" si="165"/>
        <v>0</v>
      </c>
      <c r="Q184" s="435">
        <f t="shared" si="165"/>
        <v>0</v>
      </c>
      <c r="R184" s="435">
        <f t="shared" si="165"/>
        <v>0</v>
      </c>
      <c r="S184" s="466">
        <f t="shared" si="165"/>
        <v>0</v>
      </c>
      <c r="T184" s="466">
        <f t="shared" si="165"/>
        <v>0</v>
      </c>
      <c r="U184" s="463">
        <f t="shared" si="122"/>
        <v>0</v>
      </c>
      <c r="V184" s="464">
        <f t="shared" si="123"/>
        <v>0</v>
      </c>
    </row>
    <row r="185" s="197" customFormat="1" ht="18" customHeight="1" spans="1:22">
      <c r="A185" s="471"/>
      <c r="B185" s="472"/>
      <c r="C185" s="473"/>
      <c r="D185" s="473"/>
      <c r="E185" s="473"/>
      <c r="F185" s="457"/>
      <c r="G185" s="42" t="s">
        <v>914</v>
      </c>
      <c r="H185" s="437"/>
      <c r="I185" s="437">
        <v>0</v>
      </c>
      <c r="J185" s="437"/>
      <c r="K185" s="437"/>
      <c r="L185" s="457"/>
      <c r="M185" s="437"/>
      <c r="N185" s="437">
        <f>L185-J185</f>
        <v>0</v>
      </c>
      <c r="O185" s="437">
        <f>L185-J185</f>
        <v>0</v>
      </c>
      <c r="P185" s="437">
        <f>M185-K185</f>
        <v>0</v>
      </c>
      <c r="Q185" s="464"/>
      <c r="R185" s="464"/>
      <c r="S185" s="465"/>
      <c r="T185" s="465"/>
      <c r="U185" s="463">
        <f t="shared" si="122"/>
        <v>0</v>
      </c>
      <c r="V185" s="464">
        <f t="shared" si="123"/>
        <v>0</v>
      </c>
    </row>
    <row r="186" s="197" customFormat="1" ht="18" customHeight="1" spans="1:22">
      <c r="A186" s="471"/>
      <c r="B186" s="472"/>
      <c r="C186" s="473"/>
      <c r="D186" s="473"/>
      <c r="E186" s="473"/>
      <c r="F186" s="457"/>
      <c r="G186" s="42" t="s">
        <v>915</v>
      </c>
      <c r="H186" s="437"/>
      <c r="I186" s="437">
        <v>0</v>
      </c>
      <c r="J186" s="437"/>
      <c r="K186" s="437"/>
      <c r="L186" s="457"/>
      <c r="M186" s="437"/>
      <c r="N186" s="437">
        <f>L186-J186</f>
        <v>0</v>
      </c>
      <c r="O186" s="437">
        <f>L186-J186</f>
        <v>0</v>
      </c>
      <c r="P186" s="437">
        <f>M186-K186</f>
        <v>0</v>
      </c>
      <c r="Q186" s="464"/>
      <c r="R186" s="464"/>
      <c r="S186" s="465"/>
      <c r="T186" s="465"/>
      <c r="U186" s="463">
        <f t="shared" si="122"/>
        <v>0</v>
      </c>
      <c r="V186" s="464">
        <f t="shared" si="123"/>
        <v>0</v>
      </c>
    </row>
    <row r="187" s="197" customFormat="1" ht="18" customHeight="1" spans="1:22">
      <c r="A187" s="471"/>
      <c r="B187" s="472"/>
      <c r="C187" s="473"/>
      <c r="D187" s="473"/>
      <c r="E187" s="473"/>
      <c r="F187" s="457"/>
      <c r="G187" s="278" t="s">
        <v>916</v>
      </c>
      <c r="H187" s="435">
        <f t="shared" ref="H187:K187" si="166">H188+H192+H201+H202</f>
        <v>3283</v>
      </c>
      <c r="I187" s="435">
        <f t="shared" si="166"/>
        <v>2699</v>
      </c>
      <c r="J187" s="435">
        <f t="shared" si="166"/>
        <v>3425</v>
      </c>
      <c r="K187" s="435">
        <f t="shared" si="166"/>
        <v>1615</v>
      </c>
      <c r="L187" s="457"/>
      <c r="M187" s="435">
        <f t="shared" ref="M187:T187" si="167">M188+M192+M201+M202</f>
        <v>0</v>
      </c>
      <c r="N187" s="435">
        <f t="shared" si="167"/>
        <v>0</v>
      </c>
      <c r="O187" s="435">
        <f t="shared" si="167"/>
        <v>284</v>
      </c>
      <c r="P187" s="435">
        <f t="shared" si="167"/>
        <v>105</v>
      </c>
      <c r="Q187" s="435">
        <f t="shared" si="167"/>
        <v>2415</v>
      </c>
      <c r="R187" s="435">
        <f t="shared" si="167"/>
        <v>624</v>
      </c>
      <c r="S187" s="466">
        <f t="shared" si="167"/>
        <v>0</v>
      </c>
      <c r="T187" s="466">
        <f t="shared" si="167"/>
        <v>0</v>
      </c>
      <c r="U187" s="463">
        <f t="shared" si="122"/>
        <v>3428</v>
      </c>
      <c r="V187" s="464">
        <f t="shared" si="123"/>
        <v>1813</v>
      </c>
    </row>
    <row r="188" s="197" customFormat="1" ht="18" customHeight="1" spans="1:22">
      <c r="A188" s="471"/>
      <c r="B188" s="472"/>
      <c r="C188" s="473"/>
      <c r="D188" s="473"/>
      <c r="E188" s="473"/>
      <c r="F188" s="457"/>
      <c r="G188" s="278" t="s">
        <v>917</v>
      </c>
      <c r="H188" s="435">
        <f t="shared" ref="H188:K188" si="168">SUM(H189:H191)</f>
        <v>2900</v>
      </c>
      <c r="I188" s="435">
        <f t="shared" si="168"/>
        <v>1100</v>
      </c>
      <c r="J188" s="435">
        <f t="shared" si="168"/>
        <v>1665</v>
      </c>
      <c r="K188" s="435">
        <f t="shared" si="168"/>
        <v>1100</v>
      </c>
      <c r="L188" s="457"/>
      <c r="M188" s="435">
        <f t="shared" ref="M188:T188" si="169">SUM(M189:M191)</f>
        <v>0</v>
      </c>
      <c r="N188" s="435">
        <f t="shared" si="169"/>
        <v>0</v>
      </c>
      <c r="O188" s="435">
        <f t="shared" si="169"/>
        <v>0</v>
      </c>
      <c r="P188" s="435">
        <f t="shared" si="169"/>
        <v>0</v>
      </c>
      <c r="Q188" s="435">
        <f t="shared" si="169"/>
        <v>1100</v>
      </c>
      <c r="R188" s="435">
        <f t="shared" si="169"/>
        <v>565</v>
      </c>
      <c r="S188" s="466">
        <f t="shared" si="169"/>
        <v>0</v>
      </c>
      <c r="T188" s="466">
        <f t="shared" si="169"/>
        <v>0</v>
      </c>
      <c r="U188" s="463">
        <f t="shared" si="122"/>
        <v>1665</v>
      </c>
      <c r="V188" s="464">
        <f t="shared" si="123"/>
        <v>565</v>
      </c>
    </row>
    <row r="189" s="197" customFormat="1" ht="18" customHeight="1" spans="1:22">
      <c r="A189" s="471"/>
      <c r="B189" s="472"/>
      <c r="C189" s="473"/>
      <c r="D189" s="473"/>
      <c r="E189" s="473"/>
      <c r="F189" s="457"/>
      <c r="G189" s="42" t="s">
        <v>918</v>
      </c>
      <c r="H189" s="437"/>
      <c r="I189" s="437">
        <v>0</v>
      </c>
      <c r="J189" s="437"/>
      <c r="K189" s="437"/>
      <c r="L189" s="457"/>
      <c r="M189" s="437"/>
      <c r="N189" s="437"/>
      <c r="O189" s="437"/>
      <c r="P189" s="437"/>
      <c r="Q189" s="464"/>
      <c r="R189" s="464"/>
      <c r="S189" s="465"/>
      <c r="T189" s="465"/>
      <c r="U189" s="463">
        <f t="shared" si="122"/>
        <v>0</v>
      </c>
      <c r="V189" s="464">
        <f t="shared" si="123"/>
        <v>0</v>
      </c>
    </row>
    <row r="190" s="197" customFormat="1" ht="18" customHeight="1" spans="1:22">
      <c r="A190" s="471"/>
      <c r="B190" s="472"/>
      <c r="C190" s="473"/>
      <c r="D190" s="473"/>
      <c r="E190" s="473"/>
      <c r="F190" s="457"/>
      <c r="G190" s="42" t="s">
        <v>919</v>
      </c>
      <c r="H190" s="437">
        <v>2900</v>
      </c>
      <c r="I190" s="437">
        <v>1100</v>
      </c>
      <c r="J190" s="437">
        <v>1665</v>
      </c>
      <c r="K190" s="437">
        <v>1100</v>
      </c>
      <c r="L190" s="457"/>
      <c r="M190" s="437"/>
      <c r="N190" s="437"/>
      <c r="O190" s="437"/>
      <c r="P190" s="437"/>
      <c r="Q190" s="464">
        <v>1100</v>
      </c>
      <c r="R190" s="464">
        <v>565</v>
      </c>
      <c r="S190" s="465"/>
      <c r="T190" s="465"/>
      <c r="U190" s="463">
        <f t="shared" si="122"/>
        <v>1665</v>
      </c>
      <c r="V190" s="464">
        <f t="shared" si="123"/>
        <v>565</v>
      </c>
    </row>
    <row r="191" s="197" customFormat="1" ht="18" customHeight="1" spans="1:22">
      <c r="A191" s="471"/>
      <c r="B191" s="472"/>
      <c r="C191" s="473"/>
      <c r="D191" s="473"/>
      <c r="E191" s="473"/>
      <c r="F191" s="457"/>
      <c r="G191" s="42" t="s">
        <v>920</v>
      </c>
      <c r="H191" s="437"/>
      <c r="I191" s="437">
        <v>0</v>
      </c>
      <c r="J191" s="437"/>
      <c r="K191" s="437"/>
      <c r="L191" s="457"/>
      <c r="M191" s="437"/>
      <c r="N191" s="437">
        <f t="shared" ref="N191:N201" si="170">L191-J191</f>
        <v>0</v>
      </c>
      <c r="O191" s="437">
        <f t="shared" ref="O191:O201" si="171">L191-J191</f>
        <v>0</v>
      </c>
      <c r="P191" s="437">
        <f t="shared" ref="P191:P201" si="172">M191-K191</f>
        <v>0</v>
      </c>
      <c r="Q191" s="464"/>
      <c r="R191" s="464"/>
      <c r="S191" s="465"/>
      <c r="T191" s="465"/>
      <c r="U191" s="463">
        <f t="shared" si="122"/>
        <v>0</v>
      </c>
      <c r="V191" s="464">
        <f t="shared" si="123"/>
        <v>0</v>
      </c>
    </row>
    <row r="192" s="197" customFormat="1" ht="18" customHeight="1" spans="1:22">
      <c r="A192" s="471"/>
      <c r="B192" s="472"/>
      <c r="C192" s="473"/>
      <c r="D192" s="473"/>
      <c r="E192" s="473"/>
      <c r="F192" s="457"/>
      <c r="G192" s="278" t="s">
        <v>921</v>
      </c>
      <c r="H192" s="435">
        <f t="shared" ref="H192:K192" si="173">SUM(H193:H200)</f>
        <v>0</v>
      </c>
      <c r="I192" s="435">
        <f t="shared" si="173"/>
        <v>0</v>
      </c>
      <c r="J192" s="435">
        <f t="shared" si="173"/>
        <v>0</v>
      </c>
      <c r="K192" s="435">
        <f t="shared" si="173"/>
        <v>0</v>
      </c>
      <c r="L192" s="457"/>
      <c r="M192" s="435">
        <f t="shared" ref="M192:T192" si="174">SUM(M193:M200)</f>
        <v>0</v>
      </c>
      <c r="N192" s="435">
        <f t="shared" si="174"/>
        <v>0</v>
      </c>
      <c r="O192" s="435">
        <f t="shared" si="174"/>
        <v>0</v>
      </c>
      <c r="P192" s="435">
        <f t="shared" si="174"/>
        <v>0</v>
      </c>
      <c r="Q192" s="435">
        <f t="shared" si="174"/>
        <v>0</v>
      </c>
      <c r="R192" s="435">
        <f t="shared" si="174"/>
        <v>0</v>
      </c>
      <c r="S192" s="466">
        <f t="shared" si="174"/>
        <v>0</v>
      </c>
      <c r="T192" s="466">
        <f t="shared" si="174"/>
        <v>0</v>
      </c>
      <c r="U192" s="463">
        <f t="shared" si="122"/>
        <v>0</v>
      </c>
      <c r="V192" s="464">
        <f t="shared" si="123"/>
        <v>0</v>
      </c>
    </row>
    <row r="193" s="197" customFormat="1" ht="18" customHeight="1" spans="1:22">
      <c r="A193" s="471"/>
      <c r="B193" s="472"/>
      <c r="C193" s="473"/>
      <c r="D193" s="473"/>
      <c r="E193" s="473"/>
      <c r="F193" s="457"/>
      <c r="G193" s="122" t="s">
        <v>922</v>
      </c>
      <c r="H193" s="437"/>
      <c r="I193" s="437">
        <v>0</v>
      </c>
      <c r="J193" s="437"/>
      <c r="K193" s="437"/>
      <c r="L193" s="457"/>
      <c r="M193" s="437"/>
      <c r="N193" s="437">
        <f t="shared" si="170"/>
        <v>0</v>
      </c>
      <c r="O193" s="437">
        <f t="shared" si="171"/>
        <v>0</v>
      </c>
      <c r="P193" s="437">
        <f t="shared" si="172"/>
        <v>0</v>
      </c>
      <c r="Q193" s="464"/>
      <c r="R193" s="464"/>
      <c r="S193" s="465"/>
      <c r="T193" s="465"/>
      <c r="U193" s="463">
        <f t="shared" si="122"/>
        <v>0</v>
      </c>
      <c r="V193" s="464">
        <f t="shared" si="123"/>
        <v>0</v>
      </c>
    </row>
    <row r="194" s="197" customFormat="1" ht="18" customHeight="1" spans="1:22">
      <c r="A194" s="471"/>
      <c r="B194" s="472"/>
      <c r="C194" s="473"/>
      <c r="D194" s="473"/>
      <c r="E194" s="473"/>
      <c r="F194" s="457"/>
      <c r="G194" s="42" t="s">
        <v>923</v>
      </c>
      <c r="H194" s="437"/>
      <c r="I194" s="437">
        <v>0</v>
      </c>
      <c r="J194" s="437"/>
      <c r="K194" s="437"/>
      <c r="L194" s="457"/>
      <c r="M194" s="437"/>
      <c r="N194" s="437">
        <f t="shared" si="170"/>
        <v>0</v>
      </c>
      <c r="O194" s="437">
        <f t="shared" si="171"/>
        <v>0</v>
      </c>
      <c r="P194" s="437">
        <f t="shared" si="172"/>
        <v>0</v>
      </c>
      <c r="Q194" s="464"/>
      <c r="R194" s="464"/>
      <c r="S194" s="465"/>
      <c r="T194" s="465"/>
      <c r="U194" s="463">
        <f t="shared" si="122"/>
        <v>0</v>
      </c>
      <c r="V194" s="464">
        <f t="shared" si="123"/>
        <v>0</v>
      </c>
    </row>
    <row r="195" s="197" customFormat="1" ht="18" customHeight="1" spans="1:22">
      <c r="A195" s="471"/>
      <c r="B195" s="472"/>
      <c r="C195" s="473"/>
      <c r="D195" s="473"/>
      <c r="E195" s="473"/>
      <c r="F195" s="457"/>
      <c r="G195" s="42" t="s">
        <v>924</v>
      </c>
      <c r="H195" s="437"/>
      <c r="I195" s="437">
        <v>0</v>
      </c>
      <c r="J195" s="437"/>
      <c r="K195" s="437"/>
      <c r="L195" s="457"/>
      <c r="M195" s="437"/>
      <c r="N195" s="437">
        <f t="shared" si="170"/>
        <v>0</v>
      </c>
      <c r="O195" s="437">
        <f t="shared" si="171"/>
        <v>0</v>
      </c>
      <c r="P195" s="437">
        <f t="shared" si="172"/>
        <v>0</v>
      </c>
      <c r="Q195" s="464"/>
      <c r="R195" s="464"/>
      <c r="S195" s="465"/>
      <c r="T195" s="465"/>
      <c r="U195" s="463">
        <f t="shared" si="122"/>
        <v>0</v>
      </c>
      <c r="V195" s="464">
        <f t="shared" si="123"/>
        <v>0</v>
      </c>
    </row>
    <row r="196" s="197" customFormat="1" ht="18" customHeight="1" spans="1:22">
      <c r="A196" s="471"/>
      <c r="B196" s="472"/>
      <c r="C196" s="473"/>
      <c r="D196" s="473"/>
      <c r="E196" s="473"/>
      <c r="F196" s="457"/>
      <c r="G196" s="42" t="s">
        <v>925</v>
      </c>
      <c r="H196" s="437"/>
      <c r="I196" s="437">
        <v>0</v>
      </c>
      <c r="J196" s="437"/>
      <c r="K196" s="437"/>
      <c r="L196" s="457"/>
      <c r="M196" s="437"/>
      <c r="N196" s="437">
        <f t="shared" si="170"/>
        <v>0</v>
      </c>
      <c r="O196" s="437">
        <f t="shared" si="171"/>
        <v>0</v>
      </c>
      <c r="P196" s="437">
        <f t="shared" si="172"/>
        <v>0</v>
      </c>
      <c r="Q196" s="464"/>
      <c r="R196" s="464"/>
      <c r="S196" s="465"/>
      <c r="T196" s="465"/>
      <c r="U196" s="463">
        <f t="shared" si="122"/>
        <v>0</v>
      </c>
      <c r="V196" s="464">
        <f t="shared" si="123"/>
        <v>0</v>
      </c>
    </row>
    <row r="197" s="197" customFormat="1" ht="18" customHeight="1" spans="1:22">
      <c r="A197" s="471"/>
      <c r="B197" s="472"/>
      <c r="C197" s="473"/>
      <c r="D197" s="473"/>
      <c r="E197" s="473"/>
      <c r="F197" s="457"/>
      <c r="G197" s="42" t="s">
        <v>926</v>
      </c>
      <c r="H197" s="437"/>
      <c r="I197" s="437">
        <v>0</v>
      </c>
      <c r="J197" s="437"/>
      <c r="K197" s="437"/>
      <c r="L197" s="457"/>
      <c r="M197" s="437"/>
      <c r="N197" s="437">
        <f t="shared" si="170"/>
        <v>0</v>
      </c>
      <c r="O197" s="437">
        <f t="shared" si="171"/>
        <v>0</v>
      </c>
      <c r="P197" s="437">
        <f t="shared" si="172"/>
        <v>0</v>
      </c>
      <c r="Q197" s="464"/>
      <c r="R197" s="464"/>
      <c r="S197" s="465"/>
      <c r="T197" s="465"/>
      <c r="U197" s="463">
        <f t="shared" ref="U197:U227" si="175">SUM(M197:T197)</f>
        <v>0</v>
      </c>
      <c r="V197" s="464">
        <f t="shared" ref="V197:V218" si="176">U197-K197</f>
        <v>0</v>
      </c>
    </row>
    <row r="198" s="197" customFormat="1" ht="18" customHeight="1" spans="1:22">
      <c r="A198" s="471"/>
      <c r="B198" s="472"/>
      <c r="C198" s="473"/>
      <c r="D198" s="473"/>
      <c r="E198" s="473"/>
      <c r="F198" s="457"/>
      <c r="G198" s="42" t="s">
        <v>927</v>
      </c>
      <c r="H198" s="437"/>
      <c r="I198" s="437">
        <v>0</v>
      </c>
      <c r="J198" s="437"/>
      <c r="K198" s="437"/>
      <c r="L198" s="457"/>
      <c r="M198" s="437"/>
      <c r="N198" s="437">
        <f t="shared" si="170"/>
        <v>0</v>
      </c>
      <c r="O198" s="437">
        <f t="shared" si="171"/>
        <v>0</v>
      </c>
      <c r="P198" s="437">
        <f t="shared" si="172"/>
        <v>0</v>
      </c>
      <c r="Q198" s="464"/>
      <c r="R198" s="464"/>
      <c r="S198" s="465"/>
      <c r="T198" s="465"/>
      <c r="U198" s="463">
        <f t="shared" si="175"/>
        <v>0</v>
      </c>
      <c r="V198" s="464">
        <f t="shared" si="176"/>
        <v>0</v>
      </c>
    </row>
    <row r="199" s="197" customFormat="1" ht="18" customHeight="1" spans="1:22">
      <c r="A199" s="471"/>
      <c r="B199" s="472"/>
      <c r="C199" s="473"/>
      <c r="D199" s="473"/>
      <c r="E199" s="473"/>
      <c r="F199" s="457"/>
      <c r="G199" s="42" t="s">
        <v>928</v>
      </c>
      <c r="H199" s="437"/>
      <c r="I199" s="437">
        <v>0</v>
      </c>
      <c r="J199" s="437"/>
      <c r="K199" s="437"/>
      <c r="L199" s="457"/>
      <c r="M199" s="437"/>
      <c r="N199" s="437">
        <f t="shared" si="170"/>
        <v>0</v>
      </c>
      <c r="O199" s="437">
        <f t="shared" si="171"/>
        <v>0</v>
      </c>
      <c r="P199" s="437">
        <f t="shared" si="172"/>
        <v>0</v>
      </c>
      <c r="Q199" s="464"/>
      <c r="R199" s="464"/>
      <c r="S199" s="465"/>
      <c r="T199" s="465"/>
      <c r="U199" s="463">
        <f t="shared" si="175"/>
        <v>0</v>
      </c>
      <c r="V199" s="464">
        <f t="shared" si="176"/>
        <v>0</v>
      </c>
    </row>
    <row r="200" s="197" customFormat="1" ht="18" customHeight="1" spans="1:22">
      <c r="A200" s="471"/>
      <c r="B200" s="472"/>
      <c r="C200" s="473"/>
      <c r="D200" s="473"/>
      <c r="E200" s="473"/>
      <c r="F200" s="457"/>
      <c r="G200" s="42" t="s">
        <v>929</v>
      </c>
      <c r="H200" s="437"/>
      <c r="I200" s="437">
        <v>0</v>
      </c>
      <c r="J200" s="437"/>
      <c r="K200" s="437"/>
      <c r="L200" s="457"/>
      <c r="M200" s="437"/>
      <c r="N200" s="437">
        <f t="shared" si="170"/>
        <v>0</v>
      </c>
      <c r="O200" s="437">
        <f t="shared" si="171"/>
        <v>0</v>
      </c>
      <c r="P200" s="437">
        <f t="shared" si="172"/>
        <v>0</v>
      </c>
      <c r="Q200" s="464"/>
      <c r="R200" s="464"/>
      <c r="S200" s="465"/>
      <c r="T200" s="465"/>
      <c r="U200" s="463">
        <f t="shared" si="175"/>
        <v>0</v>
      </c>
      <c r="V200" s="464">
        <f t="shared" si="176"/>
        <v>0</v>
      </c>
    </row>
    <row r="201" s="197" customFormat="1" ht="18" customHeight="1" spans="1:22">
      <c r="A201" s="471"/>
      <c r="B201" s="472"/>
      <c r="C201" s="473"/>
      <c r="D201" s="473"/>
      <c r="E201" s="473"/>
      <c r="F201" s="457"/>
      <c r="G201" s="278" t="s">
        <v>930</v>
      </c>
      <c r="H201" s="435"/>
      <c r="I201" s="435"/>
      <c r="J201" s="435"/>
      <c r="K201" s="435"/>
      <c r="L201" s="457"/>
      <c r="M201" s="435"/>
      <c r="N201" s="437">
        <f t="shared" si="170"/>
        <v>0</v>
      </c>
      <c r="O201" s="437">
        <f t="shared" si="171"/>
        <v>0</v>
      </c>
      <c r="P201" s="437">
        <f t="shared" si="172"/>
        <v>0</v>
      </c>
      <c r="Q201" s="464"/>
      <c r="R201" s="464"/>
      <c r="S201" s="465"/>
      <c r="T201" s="465"/>
      <c r="U201" s="463">
        <f t="shared" si="175"/>
        <v>0</v>
      </c>
      <c r="V201" s="464">
        <f t="shared" si="176"/>
        <v>0</v>
      </c>
    </row>
    <row r="202" s="197" customFormat="1" ht="18" customHeight="1" spans="1:22">
      <c r="A202" s="471"/>
      <c r="B202" s="472"/>
      <c r="C202" s="473"/>
      <c r="D202" s="473"/>
      <c r="E202" s="473"/>
      <c r="F202" s="457"/>
      <c r="G202" s="278" t="s">
        <v>931</v>
      </c>
      <c r="H202" s="435">
        <f t="shared" ref="H202:K202" si="177">SUM(H203:H213)</f>
        <v>383</v>
      </c>
      <c r="I202" s="435">
        <f t="shared" si="177"/>
        <v>1599</v>
      </c>
      <c r="J202" s="435">
        <f t="shared" si="177"/>
        <v>1760</v>
      </c>
      <c r="K202" s="435">
        <f t="shared" si="177"/>
        <v>515</v>
      </c>
      <c r="L202" s="457"/>
      <c r="M202" s="435">
        <f t="shared" ref="M202:T202" si="178">SUM(M203:M213)</f>
        <v>0</v>
      </c>
      <c r="N202" s="435">
        <f t="shared" si="178"/>
        <v>0</v>
      </c>
      <c r="O202" s="435">
        <f t="shared" si="178"/>
        <v>284</v>
      </c>
      <c r="P202" s="435">
        <f t="shared" si="178"/>
        <v>105</v>
      </c>
      <c r="Q202" s="435">
        <f t="shared" si="178"/>
        <v>1315</v>
      </c>
      <c r="R202" s="435">
        <f t="shared" si="178"/>
        <v>59</v>
      </c>
      <c r="S202" s="466">
        <f t="shared" si="178"/>
        <v>0</v>
      </c>
      <c r="T202" s="466">
        <f t="shared" si="178"/>
        <v>0</v>
      </c>
      <c r="U202" s="463">
        <f t="shared" si="175"/>
        <v>1763</v>
      </c>
      <c r="V202" s="464">
        <f t="shared" si="176"/>
        <v>1248</v>
      </c>
    </row>
    <row r="203" s="197" customFormat="1" ht="18" customHeight="1" spans="1:22">
      <c r="A203" s="471"/>
      <c r="B203" s="472"/>
      <c r="C203" s="473"/>
      <c r="D203" s="473"/>
      <c r="E203" s="473"/>
      <c r="F203" s="457"/>
      <c r="G203" s="122" t="s">
        <v>932</v>
      </c>
      <c r="H203" s="437">
        <v>0</v>
      </c>
      <c r="I203" s="437">
        <v>0</v>
      </c>
      <c r="J203" s="437"/>
      <c r="K203" s="437"/>
      <c r="L203" s="457"/>
      <c r="M203" s="437"/>
      <c r="N203" s="437"/>
      <c r="O203" s="437"/>
      <c r="P203" s="437"/>
      <c r="Q203" s="464"/>
      <c r="R203" s="464"/>
      <c r="S203" s="465"/>
      <c r="T203" s="465"/>
      <c r="U203" s="463">
        <f t="shared" si="175"/>
        <v>0</v>
      </c>
      <c r="V203" s="464">
        <f t="shared" si="176"/>
        <v>0</v>
      </c>
    </row>
    <row r="204" s="197" customFormat="1" ht="18" customHeight="1" spans="1:22">
      <c r="A204" s="471"/>
      <c r="B204" s="472"/>
      <c r="C204" s="473"/>
      <c r="D204" s="473"/>
      <c r="E204" s="473"/>
      <c r="F204" s="457"/>
      <c r="G204" s="42" t="s">
        <v>933</v>
      </c>
      <c r="H204" s="437">
        <v>232</v>
      </c>
      <c r="I204" s="437">
        <v>1183</v>
      </c>
      <c r="J204" s="437">
        <v>1239</v>
      </c>
      <c r="K204" s="437">
        <v>156</v>
      </c>
      <c r="L204" s="457"/>
      <c r="M204" s="437"/>
      <c r="N204" s="437"/>
      <c r="O204" s="437">
        <v>88</v>
      </c>
      <c r="P204" s="437">
        <v>42</v>
      </c>
      <c r="Q204" s="464">
        <v>1095</v>
      </c>
      <c r="R204" s="464">
        <v>59</v>
      </c>
      <c r="S204" s="465"/>
      <c r="T204" s="465"/>
      <c r="U204" s="463">
        <f t="shared" si="175"/>
        <v>1284</v>
      </c>
      <c r="V204" s="464">
        <f t="shared" si="176"/>
        <v>1128</v>
      </c>
    </row>
    <row r="205" s="197" customFormat="1" ht="18" customHeight="1" spans="1:22">
      <c r="A205" s="471"/>
      <c r="B205" s="472"/>
      <c r="C205" s="473"/>
      <c r="D205" s="473"/>
      <c r="E205" s="473"/>
      <c r="F205" s="457"/>
      <c r="G205" s="42" t="s">
        <v>934</v>
      </c>
      <c r="H205" s="437">
        <v>8</v>
      </c>
      <c r="I205" s="437">
        <v>114</v>
      </c>
      <c r="J205" s="437">
        <v>162</v>
      </c>
      <c r="K205" s="437">
        <v>29</v>
      </c>
      <c r="L205" s="457"/>
      <c r="M205" s="437"/>
      <c r="N205" s="437"/>
      <c r="O205" s="437"/>
      <c r="P205" s="437">
        <v>35</v>
      </c>
      <c r="Q205" s="464">
        <v>114</v>
      </c>
      <c r="R205" s="464"/>
      <c r="S205" s="465"/>
      <c r="T205" s="465"/>
      <c r="U205" s="463">
        <f t="shared" si="175"/>
        <v>149</v>
      </c>
      <c r="V205" s="464">
        <f t="shared" si="176"/>
        <v>120</v>
      </c>
    </row>
    <row r="206" s="197" customFormat="1" ht="18" customHeight="1" spans="1:22">
      <c r="A206" s="471"/>
      <c r="B206" s="472"/>
      <c r="C206" s="473"/>
      <c r="D206" s="473"/>
      <c r="E206" s="473"/>
      <c r="F206" s="457"/>
      <c r="G206" s="42" t="s">
        <v>935</v>
      </c>
      <c r="H206" s="437">
        <v>4</v>
      </c>
      <c r="I206" s="437">
        <v>64</v>
      </c>
      <c r="J206" s="437">
        <v>94</v>
      </c>
      <c r="K206" s="437">
        <v>94</v>
      </c>
      <c r="L206" s="457"/>
      <c r="M206" s="437"/>
      <c r="N206" s="437"/>
      <c r="O206" s="437">
        <v>24</v>
      </c>
      <c r="P206" s="437"/>
      <c r="Q206" s="464">
        <v>40</v>
      </c>
      <c r="R206" s="464"/>
      <c r="S206" s="465"/>
      <c r="T206" s="465">
        <v>30</v>
      </c>
      <c r="U206" s="463">
        <f t="shared" si="175"/>
        <v>94</v>
      </c>
      <c r="V206" s="464">
        <f t="shared" si="176"/>
        <v>0</v>
      </c>
    </row>
    <row r="207" s="197" customFormat="1" ht="18" customHeight="1" spans="1:22">
      <c r="A207" s="471"/>
      <c r="B207" s="472"/>
      <c r="C207" s="473"/>
      <c r="D207" s="473"/>
      <c r="E207" s="473"/>
      <c r="F207" s="457"/>
      <c r="G207" s="42" t="s">
        <v>936</v>
      </c>
      <c r="H207" s="437">
        <v>0</v>
      </c>
      <c r="I207" s="437">
        <v>0</v>
      </c>
      <c r="J207" s="437"/>
      <c r="K207" s="437"/>
      <c r="L207" s="457"/>
      <c r="M207" s="437"/>
      <c r="N207" s="437"/>
      <c r="O207" s="437"/>
      <c r="P207" s="437"/>
      <c r="Q207" s="464"/>
      <c r="R207" s="464"/>
      <c r="S207" s="465"/>
      <c r="T207" s="465"/>
      <c r="U207" s="463">
        <f t="shared" si="175"/>
        <v>0</v>
      </c>
      <c r="V207" s="464">
        <f t="shared" si="176"/>
        <v>0</v>
      </c>
    </row>
    <row r="208" s="197" customFormat="1" ht="18" customHeight="1" spans="1:22">
      <c r="A208" s="471"/>
      <c r="B208" s="472"/>
      <c r="C208" s="473"/>
      <c r="D208" s="473"/>
      <c r="E208" s="473"/>
      <c r="F208" s="457"/>
      <c r="G208" s="122" t="s">
        <v>937</v>
      </c>
      <c r="H208" s="437">
        <v>139</v>
      </c>
      <c r="I208" s="437">
        <v>238</v>
      </c>
      <c r="J208" s="437">
        <v>265</v>
      </c>
      <c r="K208" s="437">
        <v>236</v>
      </c>
      <c r="L208" s="457"/>
      <c r="M208" s="437"/>
      <c r="N208" s="437"/>
      <c r="O208" s="437">
        <v>172</v>
      </c>
      <c r="P208" s="437">
        <v>28</v>
      </c>
      <c r="Q208" s="464">
        <v>66</v>
      </c>
      <c r="R208" s="464"/>
      <c r="S208" s="465"/>
      <c r="T208" s="465">
        <v>-30</v>
      </c>
      <c r="U208" s="463">
        <f t="shared" si="175"/>
        <v>236</v>
      </c>
      <c r="V208" s="464">
        <f t="shared" si="176"/>
        <v>0</v>
      </c>
    </row>
    <row r="209" s="197" customFormat="1" ht="18" customHeight="1" spans="1:22">
      <c r="A209" s="471"/>
      <c r="B209" s="472"/>
      <c r="C209" s="473"/>
      <c r="D209" s="473"/>
      <c r="E209" s="473"/>
      <c r="F209" s="457"/>
      <c r="G209" s="42" t="s">
        <v>938</v>
      </c>
      <c r="H209" s="437">
        <v>0</v>
      </c>
      <c r="I209" s="437">
        <v>0</v>
      </c>
      <c r="J209" s="437"/>
      <c r="K209" s="437"/>
      <c r="L209" s="457"/>
      <c r="M209" s="437"/>
      <c r="N209" s="437"/>
      <c r="O209" s="437"/>
      <c r="P209" s="437"/>
      <c r="Q209" s="464"/>
      <c r="R209" s="464"/>
      <c r="S209" s="465"/>
      <c r="T209" s="465"/>
      <c r="U209" s="463">
        <f t="shared" si="175"/>
        <v>0</v>
      </c>
      <c r="V209" s="464">
        <f t="shared" si="176"/>
        <v>0</v>
      </c>
    </row>
    <row r="210" s="197" customFormat="1" ht="18" customHeight="1" spans="1:22">
      <c r="A210" s="471"/>
      <c r="B210" s="472"/>
      <c r="C210" s="473"/>
      <c r="D210" s="473"/>
      <c r="E210" s="473"/>
      <c r="F210" s="457"/>
      <c r="G210" s="42" t="s">
        <v>939</v>
      </c>
      <c r="H210" s="437">
        <v>0</v>
      </c>
      <c r="I210" s="437">
        <v>0</v>
      </c>
      <c r="J210" s="437"/>
      <c r="K210" s="437"/>
      <c r="L210" s="457"/>
      <c r="M210" s="437"/>
      <c r="N210" s="437"/>
      <c r="O210" s="437"/>
      <c r="P210" s="437"/>
      <c r="Q210" s="464"/>
      <c r="R210" s="464"/>
      <c r="S210" s="465"/>
      <c r="T210" s="465"/>
      <c r="U210" s="463">
        <f t="shared" si="175"/>
        <v>0</v>
      </c>
      <c r="V210" s="464">
        <f t="shared" si="176"/>
        <v>0</v>
      </c>
    </row>
    <row r="211" s="197" customFormat="1" ht="18" customHeight="1" spans="1:22">
      <c r="A211" s="471"/>
      <c r="B211" s="472"/>
      <c r="C211" s="473"/>
      <c r="D211" s="473"/>
      <c r="E211" s="473"/>
      <c r="F211" s="457"/>
      <c r="G211" s="42" t="s">
        <v>940</v>
      </c>
      <c r="H211" s="437">
        <v>0</v>
      </c>
      <c r="I211" s="437">
        <v>0</v>
      </c>
      <c r="J211" s="437"/>
      <c r="K211" s="437"/>
      <c r="L211" s="457"/>
      <c r="M211" s="437"/>
      <c r="N211" s="437"/>
      <c r="O211" s="437"/>
      <c r="P211" s="437"/>
      <c r="Q211" s="464"/>
      <c r="R211" s="464"/>
      <c r="S211" s="465"/>
      <c r="T211" s="465"/>
      <c r="U211" s="463">
        <f t="shared" si="175"/>
        <v>0</v>
      </c>
      <c r="V211" s="464">
        <f t="shared" si="176"/>
        <v>0</v>
      </c>
    </row>
    <row r="212" s="197" customFormat="1" ht="18" customHeight="1" spans="1:22">
      <c r="A212" s="471"/>
      <c r="B212" s="472"/>
      <c r="C212" s="473"/>
      <c r="D212" s="473"/>
      <c r="E212" s="473"/>
      <c r="F212" s="457"/>
      <c r="G212" s="42" t="s">
        <v>941</v>
      </c>
      <c r="H212" s="437">
        <v>0</v>
      </c>
      <c r="I212" s="437">
        <v>0</v>
      </c>
      <c r="J212" s="437"/>
      <c r="K212" s="437"/>
      <c r="L212" s="457"/>
      <c r="M212" s="437"/>
      <c r="N212" s="437"/>
      <c r="O212" s="437"/>
      <c r="P212" s="437"/>
      <c r="Q212" s="464"/>
      <c r="R212" s="464"/>
      <c r="S212" s="465"/>
      <c r="T212" s="465"/>
      <c r="U212" s="463">
        <f t="shared" si="175"/>
        <v>0</v>
      </c>
      <c r="V212" s="464">
        <f t="shared" si="176"/>
        <v>0</v>
      </c>
    </row>
    <row r="213" s="197" customFormat="1" ht="18" customHeight="1" spans="1:22">
      <c r="A213" s="471"/>
      <c r="B213" s="472"/>
      <c r="C213" s="473"/>
      <c r="D213" s="473"/>
      <c r="E213" s="473"/>
      <c r="F213" s="457"/>
      <c r="G213" s="122" t="s">
        <v>942</v>
      </c>
      <c r="H213" s="437">
        <v>0</v>
      </c>
      <c r="I213" s="437">
        <v>0</v>
      </c>
      <c r="J213" s="437"/>
      <c r="K213" s="437"/>
      <c r="L213" s="457"/>
      <c r="M213" s="437"/>
      <c r="N213" s="437">
        <f>L213-J213</f>
        <v>0</v>
      </c>
      <c r="O213" s="437">
        <f t="shared" ref="O213:O216" si="179">L213-J213</f>
        <v>0</v>
      </c>
      <c r="P213" s="437">
        <f>M213-K213</f>
        <v>0</v>
      </c>
      <c r="Q213" s="464"/>
      <c r="R213" s="464"/>
      <c r="S213" s="465"/>
      <c r="T213" s="465"/>
      <c r="U213" s="463">
        <f t="shared" si="175"/>
        <v>0</v>
      </c>
      <c r="V213" s="464">
        <f t="shared" si="176"/>
        <v>0</v>
      </c>
    </row>
    <row r="214" s="197" customFormat="1" ht="18" customHeight="1" spans="1:22">
      <c r="A214" s="471"/>
      <c r="B214" s="472"/>
      <c r="C214" s="473"/>
      <c r="D214" s="473"/>
      <c r="E214" s="473"/>
      <c r="F214" s="457"/>
      <c r="G214" s="411" t="s">
        <v>943</v>
      </c>
      <c r="H214" s="435">
        <v>1462</v>
      </c>
      <c r="I214" s="435">
        <v>1187</v>
      </c>
      <c r="J214" s="435">
        <v>1608</v>
      </c>
      <c r="K214" s="435">
        <v>939</v>
      </c>
      <c r="L214" s="457"/>
      <c r="M214" s="435">
        <v>1187</v>
      </c>
      <c r="N214" s="437">
        <v>-248</v>
      </c>
      <c r="O214" s="437"/>
      <c r="P214" s="437"/>
      <c r="Q214" s="464"/>
      <c r="R214" s="464"/>
      <c r="S214" s="465"/>
      <c r="T214" s="465"/>
      <c r="U214" s="463">
        <f t="shared" si="175"/>
        <v>939</v>
      </c>
      <c r="V214" s="464">
        <f t="shared" si="176"/>
        <v>0</v>
      </c>
    </row>
    <row r="215" s="197" customFormat="1" ht="18" customHeight="1" spans="1:22">
      <c r="A215" s="471"/>
      <c r="B215" s="472"/>
      <c r="C215" s="473"/>
      <c r="D215" s="473"/>
      <c r="E215" s="473"/>
      <c r="F215" s="457"/>
      <c r="G215" s="411" t="s">
        <v>944</v>
      </c>
      <c r="H215" s="435">
        <v>16</v>
      </c>
      <c r="I215" s="435">
        <v>0</v>
      </c>
      <c r="J215" s="435"/>
      <c r="K215" s="435">
        <v>19</v>
      </c>
      <c r="L215" s="457"/>
      <c r="M215" s="435"/>
      <c r="N215" s="437">
        <v>19</v>
      </c>
      <c r="O215" s="437">
        <f t="shared" si="179"/>
        <v>0</v>
      </c>
      <c r="P215" s="437"/>
      <c r="Q215" s="464"/>
      <c r="R215" s="464"/>
      <c r="S215" s="465"/>
      <c r="T215" s="465"/>
      <c r="U215" s="463">
        <f t="shared" si="175"/>
        <v>19</v>
      </c>
      <c r="V215" s="464">
        <f t="shared" si="176"/>
        <v>0</v>
      </c>
    </row>
    <row r="216" s="197" customFormat="1" ht="18" customHeight="1" spans="1:22">
      <c r="A216" s="471"/>
      <c r="B216" s="472"/>
      <c r="C216" s="473"/>
      <c r="D216" s="473"/>
      <c r="E216" s="473"/>
      <c r="F216" s="457"/>
      <c r="G216" s="411" t="s">
        <v>945</v>
      </c>
      <c r="H216" s="435"/>
      <c r="I216" s="435">
        <v>0</v>
      </c>
      <c r="J216" s="435"/>
      <c r="K216" s="435"/>
      <c r="L216" s="457"/>
      <c r="M216" s="435"/>
      <c r="N216" s="437">
        <f>L216-J216</f>
        <v>0</v>
      </c>
      <c r="O216" s="437">
        <f t="shared" si="179"/>
        <v>0</v>
      </c>
      <c r="P216" s="437">
        <f>M216-K216</f>
        <v>0</v>
      </c>
      <c r="Q216" s="464"/>
      <c r="R216" s="464"/>
      <c r="S216" s="465"/>
      <c r="T216" s="465"/>
      <c r="U216" s="463">
        <f t="shared" si="175"/>
        <v>0</v>
      </c>
      <c r="V216" s="464">
        <f t="shared" si="176"/>
        <v>0</v>
      </c>
    </row>
    <row r="217" s="197" customFormat="1" ht="18" customHeight="1" spans="1:22">
      <c r="A217" s="471"/>
      <c r="B217" s="472"/>
      <c r="C217" s="473"/>
      <c r="D217" s="473"/>
      <c r="E217" s="473"/>
      <c r="F217" s="457"/>
      <c r="G217" s="440"/>
      <c r="H217" s="473"/>
      <c r="I217" s="473"/>
      <c r="J217" s="473"/>
      <c r="K217" s="473"/>
      <c r="L217" s="457"/>
      <c r="M217" s="473"/>
      <c r="N217" s="458"/>
      <c r="O217" s="458"/>
      <c r="P217" s="458"/>
      <c r="Q217" s="464"/>
      <c r="R217" s="464"/>
      <c r="S217" s="465"/>
      <c r="T217" s="465"/>
      <c r="U217" s="463">
        <f t="shared" si="175"/>
        <v>0</v>
      </c>
      <c r="V217" s="464">
        <f t="shared" si="176"/>
        <v>0</v>
      </c>
    </row>
    <row r="218" s="197" customFormat="1" ht="22" customHeight="1" spans="1:22">
      <c r="A218" s="479" t="s">
        <v>81</v>
      </c>
      <c r="B218" s="480">
        <f>B5+B55</f>
        <v>27511</v>
      </c>
      <c r="C218" s="480">
        <f>C5+C55</f>
        <v>20220</v>
      </c>
      <c r="D218" s="480">
        <f>D5+D55</f>
        <v>5408</v>
      </c>
      <c r="E218" s="480">
        <f>E5+E55</f>
        <v>5596</v>
      </c>
      <c r="F218" s="456">
        <f t="shared" ref="F218:F224" si="180">IF(B218=0,0,SUM(E218/B218-1)*100)</f>
        <v>-79.66</v>
      </c>
      <c r="G218" s="481" t="s">
        <v>433</v>
      </c>
      <c r="H218" s="447">
        <f t="shared" ref="H218:K218" si="181">H5+H13+H29+H40+H98+H133+H177+H183+H187+H214+H215+H216</f>
        <v>20319</v>
      </c>
      <c r="I218" s="447">
        <f t="shared" si="181"/>
        <v>32819</v>
      </c>
      <c r="J218" s="447">
        <f t="shared" si="181"/>
        <v>34742</v>
      </c>
      <c r="K218" s="447">
        <f t="shared" si="181"/>
        <v>18634</v>
      </c>
      <c r="L218" s="456">
        <f t="shared" ref="L218:L226" si="182">IF(H218=0,0,SUM(K218/H218-1)*100)</f>
        <v>-8.29</v>
      </c>
      <c r="M218" s="447">
        <f t="shared" ref="M218:T218" si="183">M5+M13+M29+M40+M98+M133+M177+M183+M187+M214+M215+M216</f>
        <v>12068</v>
      </c>
      <c r="N218" s="447">
        <f t="shared" si="183"/>
        <v>-6472</v>
      </c>
      <c r="O218" s="447">
        <f t="shared" si="183"/>
        <v>1374</v>
      </c>
      <c r="P218" s="447">
        <f t="shared" si="183"/>
        <v>1155</v>
      </c>
      <c r="Q218" s="447">
        <f t="shared" si="183"/>
        <v>19377</v>
      </c>
      <c r="R218" s="447">
        <f t="shared" si="183"/>
        <v>842</v>
      </c>
      <c r="S218" s="469">
        <f t="shared" si="183"/>
        <v>10526</v>
      </c>
      <c r="T218" s="469">
        <f t="shared" si="183"/>
        <v>0</v>
      </c>
      <c r="U218" s="463">
        <f t="shared" si="175"/>
        <v>38870</v>
      </c>
      <c r="V218" s="464">
        <f t="shared" si="176"/>
        <v>20236</v>
      </c>
    </row>
    <row r="219" s="197" customFormat="1" ht="21" customHeight="1" spans="1:22">
      <c r="A219" s="482" t="s">
        <v>94</v>
      </c>
      <c r="B219" s="435">
        <f>SUM(B220,B223:B224)</f>
        <v>33892</v>
      </c>
      <c r="C219" s="435">
        <f>SUM(C220,C223:C224)</f>
        <v>20751</v>
      </c>
      <c r="D219" s="483">
        <f>SUM(D220,D223:D224)</f>
        <v>29334</v>
      </c>
      <c r="E219" s="483">
        <f>SUM(E220,E223:E224)</f>
        <v>41697</v>
      </c>
      <c r="F219" s="456">
        <f t="shared" si="180"/>
        <v>23.03</v>
      </c>
      <c r="G219" s="484" t="s">
        <v>95</v>
      </c>
      <c r="H219" s="483">
        <f t="shared" ref="H219:K219" si="184">H220+H223+H224+H225</f>
        <v>41084</v>
      </c>
      <c r="I219" s="483">
        <f t="shared" si="184"/>
        <v>8152</v>
      </c>
      <c r="J219" s="483">
        <f t="shared" si="184"/>
        <v>0</v>
      </c>
      <c r="K219" s="483">
        <f t="shared" si="184"/>
        <v>28659</v>
      </c>
      <c r="L219" s="456">
        <f t="shared" si="182"/>
        <v>-30.24</v>
      </c>
      <c r="M219" s="483">
        <f t="shared" ref="M219:T219" si="185">SUM(M220,M223:M224,M225)</f>
        <v>8152</v>
      </c>
      <c r="N219" s="483">
        <f t="shared" si="185"/>
        <v>-8152</v>
      </c>
      <c r="O219" s="483">
        <f t="shared" si="185"/>
        <v>0</v>
      </c>
      <c r="P219" s="483">
        <f t="shared" si="185"/>
        <v>0</v>
      </c>
      <c r="Q219" s="483">
        <f t="shared" si="185"/>
        <v>0</v>
      </c>
      <c r="R219" s="483">
        <f t="shared" si="185"/>
        <v>0</v>
      </c>
      <c r="S219" s="483">
        <f t="shared" si="185"/>
        <v>8423</v>
      </c>
      <c r="T219" s="483">
        <f t="shared" si="185"/>
        <v>0</v>
      </c>
      <c r="U219" s="463">
        <f t="shared" si="175"/>
        <v>8423</v>
      </c>
      <c r="V219" s="464"/>
    </row>
    <row r="220" s="197" customFormat="1" ht="22" customHeight="1" spans="1:22">
      <c r="A220" s="482" t="s">
        <v>946</v>
      </c>
      <c r="B220" s="435">
        <f>SUM(B221:B222)</f>
        <v>4214</v>
      </c>
      <c r="C220" s="435">
        <f t="shared" ref="C220:K220" si="186">SUM(C221:C222)</f>
        <v>1374</v>
      </c>
      <c r="D220" s="483">
        <f t="shared" si="186"/>
        <v>1757</v>
      </c>
      <c r="E220" s="483">
        <f t="shared" si="186"/>
        <v>2529</v>
      </c>
      <c r="F220" s="456">
        <f t="shared" si="180"/>
        <v>-39.99</v>
      </c>
      <c r="G220" s="484" t="s">
        <v>947</v>
      </c>
      <c r="H220" s="483">
        <f t="shared" si="186"/>
        <v>0</v>
      </c>
      <c r="I220" s="483">
        <f t="shared" si="186"/>
        <v>0</v>
      </c>
      <c r="J220" s="483">
        <f t="shared" si="186"/>
        <v>0</v>
      </c>
      <c r="K220" s="483">
        <f t="shared" si="186"/>
        <v>0</v>
      </c>
      <c r="L220" s="456">
        <f t="shared" si="182"/>
        <v>0</v>
      </c>
      <c r="M220" s="483">
        <f>SUM(M221:M222)</f>
        <v>0</v>
      </c>
      <c r="N220" s="437"/>
      <c r="O220" s="437"/>
      <c r="P220" s="437"/>
      <c r="Q220" s="464"/>
      <c r="R220" s="464"/>
      <c r="S220" s="465"/>
      <c r="T220" s="465"/>
      <c r="U220" s="463">
        <f t="shared" si="175"/>
        <v>0</v>
      </c>
      <c r="V220" s="464">
        <f t="shared" ref="V220:V223" si="187">U220-K220</f>
        <v>0</v>
      </c>
    </row>
    <row r="221" s="197" customFormat="1" ht="22.5" customHeight="1" spans="1:22">
      <c r="A221" s="485" t="s">
        <v>948</v>
      </c>
      <c r="B221" s="437">
        <v>4214</v>
      </c>
      <c r="C221" s="486">
        <v>1374</v>
      </c>
      <c r="D221" s="486">
        <v>1757</v>
      </c>
      <c r="E221" s="487">
        <v>2529</v>
      </c>
      <c r="F221" s="457">
        <f t="shared" si="180"/>
        <v>-39.99</v>
      </c>
      <c r="G221" s="458" t="s">
        <v>949</v>
      </c>
      <c r="H221" s="473"/>
      <c r="I221" s="473"/>
      <c r="J221" s="473"/>
      <c r="K221" s="473"/>
      <c r="L221" s="457">
        <f t="shared" si="182"/>
        <v>0</v>
      </c>
      <c r="M221" s="473"/>
      <c r="N221" s="463"/>
      <c r="O221" s="463"/>
      <c r="P221" s="463"/>
      <c r="Q221" s="464"/>
      <c r="R221" s="464"/>
      <c r="S221" s="465"/>
      <c r="T221" s="465"/>
      <c r="U221" s="463">
        <f t="shared" si="175"/>
        <v>0</v>
      </c>
      <c r="V221" s="464">
        <f t="shared" si="187"/>
        <v>0</v>
      </c>
    </row>
    <row r="222" s="197" customFormat="1" ht="22.5" customHeight="1" spans="1:22">
      <c r="A222" s="485" t="s">
        <v>950</v>
      </c>
      <c r="B222" s="437"/>
      <c r="C222" s="159"/>
      <c r="D222" s="159"/>
      <c r="E222" s="267"/>
      <c r="F222" s="457">
        <f t="shared" si="180"/>
        <v>0</v>
      </c>
      <c r="G222" s="458" t="s">
        <v>951</v>
      </c>
      <c r="H222" s="473"/>
      <c r="I222" s="473"/>
      <c r="J222" s="473"/>
      <c r="K222" s="473"/>
      <c r="L222" s="457">
        <f t="shared" si="182"/>
        <v>0</v>
      </c>
      <c r="M222" s="473"/>
      <c r="N222" s="463"/>
      <c r="O222" s="463"/>
      <c r="P222" s="463"/>
      <c r="Q222" s="464"/>
      <c r="R222" s="464"/>
      <c r="S222" s="465"/>
      <c r="T222" s="465"/>
      <c r="U222" s="463">
        <f t="shared" si="175"/>
        <v>0</v>
      </c>
      <c r="V222" s="464">
        <f t="shared" si="187"/>
        <v>0</v>
      </c>
    </row>
    <row r="223" s="197" customFormat="1" ht="22.5" customHeight="1" spans="1:22">
      <c r="A223" s="482" t="s">
        <v>952</v>
      </c>
      <c r="B223" s="435">
        <v>10903</v>
      </c>
      <c r="C223" s="308">
        <v>19377</v>
      </c>
      <c r="D223" s="308">
        <v>20219</v>
      </c>
      <c r="E223" s="268">
        <v>20219</v>
      </c>
      <c r="F223" s="457">
        <f t="shared" si="180"/>
        <v>85.44</v>
      </c>
      <c r="G223" s="484" t="s">
        <v>953</v>
      </c>
      <c r="H223" s="435">
        <v>10865</v>
      </c>
      <c r="I223" s="483">
        <v>8152</v>
      </c>
      <c r="J223" s="483"/>
      <c r="K223" s="483"/>
      <c r="L223" s="456">
        <f t="shared" si="182"/>
        <v>-100</v>
      </c>
      <c r="M223" s="483">
        <v>8152</v>
      </c>
      <c r="N223" s="463">
        <v>-8152</v>
      </c>
      <c r="O223" s="463"/>
      <c r="P223" s="463"/>
      <c r="Q223" s="464"/>
      <c r="R223" s="464"/>
      <c r="S223" s="465"/>
      <c r="T223" s="465"/>
      <c r="U223" s="463">
        <f t="shared" si="175"/>
        <v>0</v>
      </c>
      <c r="V223" s="464">
        <f t="shared" si="187"/>
        <v>0</v>
      </c>
    </row>
    <row r="224" s="197" customFormat="1" ht="22.5" customHeight="1" spans="1:22">
      <c r="A224" s="614" t="s">
        <v>954</v>
      </c>
      <c r="B224" s="435">
        <v>18775</v>
      </c>
      <c r="C224" s="435"/>
      <c r="D224" s="435">
        <v>7358</v>
      </c>
      <c r="E224" s="483">
        <v>18949</v>
      </c>
      <c r="F224" s="457">
        <f t="shared" si="180"/>
        <v>0.93</v>
      </c>
      <c r="G224" s="484" t="s">
        <v>426</v>
      </c>
      <c r="H224" s="435">
        <v>20219</v>
      </c>
      <c r="I224" s="483"/>
      <c r="J224" s="483"/>
      <c r="K224" s="483">
        <v>20236</v>
      </c>
      <c r="L224" s="456">
        <f t="shared" si="182"/>
        <v>0.08</v>
      </c>
      <c r="M224" s="483"/>
      <c r="N224" s="463"/>
      <c r="O224" s="463"/>
      <c r="P224" s="463"/>
      <c r="Q224" s="464"/>
      <c r="R224" s="464"/>
      <c r="S224" s="465"/>
      <c r="T224" s="465"/>
      <c r="U224" s="463">
        <f t="shared" si="175"/>
        <v>0</v>
      </c>
      <c r="V224" s="464"/>
    </row>
    <row r="225" s="197" customFormat="1" ht="22.5" customHeight="1" spans="1:22">
      <c r="A225" s="489"/>
      <c r="B225" s="437"/>
      <c r="C225" s="437"/>
      <c r="D225" s="437"/>
      <c r="E225" s="437"/>
      <c r="F225" s="433"/>
      <c r="G225" s="484" t="s">
        <v>955</v>
      </c>
      <c r="H225" s="435">
        <f t="shared" ref="H225:K225" si="188">SUM(H226:H227)</f>
        <v>10000</v>
      </c>
      <c r="I225" s="435">
        <f t="shared" si="188"/>
        <v>0</v>
      </c>
      <c r="J225" s="435">
        <f t="shared" si="188"/>
        <v>0</v>
      </c>
      <c r="K225" s="435">
        <f t="shared" si="188"/>
        <v>8423</v>
      </c>
      <c r="L225" s="456">
        <f t="shared" si="182"/>
        <v>-15.77</v>
      </c>
      <c r="M225" s="435">
        <f t="shared" ref="M225:T225" si="189">SUM(M226:M227)</f>
        <v>0</v>
      </c>
      <c r="N225" s="435">
        <f t="shared" si="189"/>
        <v>0</v>
      </c>
      <c r="O225" s="435">
        <f t="shared" si="189"/>
        <v>0</v>
      </c>
      <c r="P225" s="435">
        <f t="shared" si="189"/>
        <v>0</v>
      </c>
      <c r="Q225" s="435">
        <f t="shared" si="189"/>
        <v>0</v>
      </c>
      <c r="R225" s="435">
        <f t="shared" si="189"/>
        <v>0</v>
      </c>
      <c r="S225" s="435">
        <f t="shared" si="189"/>
        <v>8423</v>
      </c>
      <c r="T225" s="435">
        <f t="shared" si="189"/>
        <v>0</v>
      </c>
      <c r="U225" s="463">
        <f t="shared" si="175"/>
        <v>8423</v>
      </c>
      <c r="V225" s="464">
        <f t="shared" ref="V225:V227" si="190">U225-K225</f>
        <v>0</v>
      </c>
    </row>
    <row r="226" s="197" customFormat="1" ht="22.5" customHeight="1" spans="1:22">
      <c r="A226" s="489"/>
      <c r="B226" s="437"/>
      <c r="C226" s="437"/>
      <c r="D226" s="437"/>
      <c r="E226" s="437"/>
      <c r="F226" s="433"/>
      <c r="G226" s="458" t="s">
        <v>956</v>
      </c>
      <c r="H226" s="437">
        <v>10000</v>
      </c>
      <c r="I226" s="437"/>
      <c r="J226" s="476"/>
      <c r="K226" s="437">
        <v>8423</v>
      </c>
      <c r="L226" s="456">
        <f t="shared" si="182"/>
        <v>-15.77</v>
      </c>
      <c r="M226" s="437"/>
      <c r="N226" s="463"/>
      <c r="O226" s="463"/>
      <c r="P226" s="463"/>
      <c r="Q226" s="464"/>
      <c r="R226" s="464"/>
      <c r="S226" s="465">
        <v>8423</v>
      </c>
      <c r="T226" s="465"/>
      <c r="U226" s="463">
        <f t="shared" si="175"/>
        <v>8423</v>
      </c>
      <c r="V226" s="464">
        <f t="shared" si="190"/>
        <v>0</v>
      </c>
    </row>
    <row r="227" s="197" customFormat="1" ht="22.5" customHeight="1" spans="1:22">
      <c r="A227" s="489"/>
      <c r="B227" s="437"/>
      <c r="C227" s="437"/>
      <c r="D227" s="437"/>
      <c r="E227" s="437"/>
      <c r="F227" s="433"/>
      <c r="G227" s="458" t="s">
        <v>957</v>
      </c>
      <c r="H227" s="437"/>
      <c r="I227" s="437"/>
      <c r="J227" s="476"/>
      <c r="K227" s="437"/>
      <c r="L227" s="433"/>
      <c r="M227" s="437"/>
      <c r="N227" s="463"/>
      <c r="O227" s="463"/>
      <c r="P227" s="463"/>
      <c r="Q227" s="464"/>
      <c r="R227" s="464"/>
      <c r="S227" s="465"/>
      <c r="T227" s="465"/>
      <c r="U227" s="463">
        <f t="shared" si="175"/>
        <v>0</v>
      </c>
      <c r="V227" s="464">
        <f t="shared" si="190"/>
        <v>0</v>
      </c>
    </row>
    <row r="228" s="197" customFormat="1" ht="22.5" customHeight="1" spans="1:22">
      <c r="A228" s="479" t="s">
        <v>214</v>
      </c>
      <c r="B228" s="483">
        <f>B218+B219</f>
        <v>61403</v>
      </c>
      <c r="C228" s="483">
        <f>C218+C219</f>
        <v>40971</v>
      </c>
      <c r="D228" s="483">
        <f>D218+D219</f>
        <v>34742</v>
      </c>
      <c r="E228" s="483">
        <f>E218+E219</f>
        <v>47293</v>
      </c>
      <c r="F228" s="456">
        <f>IF(B228=0,0,SUM(E228/B228-1)*100)</f>
        <v>-22.98</v>
      </c>
      <c r="G228" s="481" t="s">
        <v>215</v>
      </c>
      <c r="H228" s="483">
        <f t="shared" ref="H228:K228" si="191">SUM(H218:H219)</f>
        <v>61403</v>
      </c>
      <c r="I228" s="483">
        <f t="shared" si="191"/>
        <v>40971</v>
      </c>
      <c r="J228" s="483">
        <f t="shared" si="191"/>
        <v>34742</v>
      </c>
      <c r="K228" s="483">
        <f t="shared" si="191"/>
        <v>47293</v>
      </c>
      <c r="L228" s="456">
        <f>IF(H228=0,0,SUM(K228/H228-1)*100)</f>
        <v>-22.98</v>
      </c>
      <c r="M228" s="490">
        <f t="shared" ref="M228:U228" si="192">SUM(M218:M219)</f>
        <v>20220</v>
      </c>
      <c r="N228" s="490">
        <f t="shared" si="192"/>
        <v>-14624</v>
      </c>
      <c r="O228" s="490">
        <f t="shared" si="192"/>
        <v>1374</v>
      </c>
      <c r="P228" s="490">
        <f t="shared" si="192"/>
        <v>1155</v>
      </c>
      <c r="Q228" s="490">
        <f t="shared" si="192"/>
        <v>19377</v>
      </c>
      <c r="R228" s="490">
        <f t="shared" si="192"/>
        <v>842</v>
      </c>
      <c r="S228" s="490">
        <f t="shared" si="192"/>
        <v>18949</v>
      </c>
      <c r="T228" s="490">
        <f t="shared" si="192"/>
        <v>0</v>
      </c>
      <c r="U228" s="490">
        <f t="shared" si="192"/>
        <v>47293</v>
      </c>
      <c r="V228" s="491">
        <f>V218</f>
        <v>20236</v>
      </c>
    </row>
    <row r="229" s="197" customFormat="1" ht="22.5" customHeight="1" spans="1:12">
      <c r="A229" s="413"/>
      <c r="B229" s="414"/>
      <c r="C229" s="414"/>
      <c r="D229" s="414"/>
      <c r="E229" s="414"/>
      <c r="F229" s="196"/>
      <c r="G229" s="196"/>
      <c r="H229" s="414"/>
      <c r="I229" s="414"/>
      <c r="J229" s="414"/>
      <c r="K229" s="414"/>
      <c r="L229" s="196"/>
    </row>
    <row r="230" s="197" customFormat="1" ht="22.5" customHeight="1" spans="1:12">
      <c r="A230" s="413"/>
      <c r="B230" s="414"/>
      <c r="C230" s="414"/>
      <c r="D230" s="414"/>
      <c r="E230" s="414"/>
      <c r="F230" s="196"/>
      <c r="G230" s="196"/>
      <c r="H230" s="414"/>
      <c r="I230" s="414"/>
      <c r="J230" s="414"/>
      <c r="K230" s="414"/>
      <c r="L230" s="196"/>
    </row>
  </sheetData>
  <autoFilter xmlns:etc="http://www.wps.cn/officeDocument/2017/etCustomData" ref="A4:R216" etc:filterBottomFollowUsedRange="0">
    <extLst/>
  </autoFilter>
  <mergeCells count="3">
    <mergeCell ref="A1:K1"/>
    <mergeCell ref="I2:K2"/>
    <mergeCell ref="A3:C3"/>
  </mergeCells>
  <pageMargins left="0.708661417322835" right="0.708661417322835" top="0.748031496062992" bottom="0.748031496062992" header="0.31496062992126" footer="0.31496062992126"/>
  <pageSetup paperSize="9" scale="69" fitToHeight="0" orientation="landscape" blackAndWhite="1"/>
  <headerFooter/>
  <rowBreaks count="1" manualBreakCount="1">
    <brk id="181" max="25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1"/>
  <sheetViews>
    <sheetView showZeros="0" zoomScaleSheetLayoutView="60" workbookViewId="0">
      <pane xSplit="2" ySplit="4" topLeftCell="C5" activePane="bottomRight" state="frozen"/>
      <selection/>
      <selection pane="topRight"/>
      <selection pane="bottomLeft"/>
      <selection pane="bottomRight" activeCell="F13" sqref="F13"/>
    </sheetView>
  </sheetViews>
  <sheetFormatPr defaultColWidth="9" defaultRowHeight="15"/>
  <cols>
    <col min="1" max="1" width="48" style="104" customWidth="1"/>
    <col min="2" max="2" width="10.5" style="104" customWidth="1"/>
    <col min="3" max="4" width="9.125" style="104" customWidth="1"/>
    <col min="5" max="6" width="9" style="104" customWidth="1"/>
    <col min="7" max="8" width="9.5" style="104" customWidth="1"/>
    <col min="9" max="9" width="11.375" style="104" customWidth="1"/>
    <col min="10" max="10" width="10.25" style="104" customWidth="1"/>
    <col min="11" max="11" width="11.75" style="104" customWidth="1"/>
    <col min="12" max="16384" width="9" style="104"/>
  </cols>
  <sheetData>
    <row r="1" s="104" customFormat="1" ht="33.75" customHeight="1" spans="1:11">
      <c r="A1" s="599" t="s">
        <v>958</v>
      </c>
      <c r="B1" s="105"/>
      <c r="C1" s="105"/>
      <c r="D1" s="105"/>
      <c r="E1" s="105"/>
      <c r="F1" s="105"/>
      <c r="G1" s="105"/>
      <c r="H1" s="105"/>
      <c r="I1" s="105"/>
      <c r="J1" s="105"/>
      <c r="K1" s="105"/>
    </row>
    <row r="2" s="104" customFormat="1" ht="20.25" customHeight="1" spans="1:11">
      <c r="A2" s="405"/>
      <c r="K2" s="412" t="s">
        <v>51</v>
      </c>
    </row>
    <row r="3" s="93" customFormat="1" ht="31.5" customHeight="1" spans="1:11">
      <c r="A3" s="108" t="s">
        <v>52</v>
      </c>
      <c r="B3" s="108" t="s">
        <v>959</v>
      </c>
      <c r="C3" s="109" t="s">
        <v>960</v>
      </c>
      <c r="D3" s="615" t="s">
        <v>961</v>
      </c>
      <c r="E3" s="109" t="s">
        <v>962</v>
      </c>
      <c r="F3" s="615" t="s">
        <v>963</v>
      </c>
      <c r="G3" s="109" t="s">
        <v>453</v>
      </c>
      <c r="H3" s="615" t="s">
        <v>964</v>
      </c>
      <c r="I3" s="110" t="s">
        <v>452</v>
      </c>
      <c r="J3" s="109" t="s">
        <v>965</v>
      </c>
      <c r="K3" s="108" t="s">
        <v>966</v>
      </c>
    </row>
    <row r="4" s="93" customFormat="1" ht="25" customHeight="1" spans="1:11">
      <c r="A4" s="111"/>
      <c r="B4" s="111"/>
      <c r="C4" s="112"/>
      <c r="D4" s="407"/>
      <c r="E4" s="112"/>
      <c r="F4" s="408"/>
      <c r="G4" s="111"/>
      <c r="H4" s="409"/>
      <c r="I4" s="115"/>
      <c r="J4" s="116"/>
      <c r="K4" s="111"/>
    </row>
    <row r="5" s="404" customFormat="1" ht="18.4" customHeight="1" spans="1:11">
      <c r="A5" s="410" t="s">
        <v>696</v>
      </c>
      <c r="B5" s="124">
        <f t="shared" ref="B5:K5" si="0">B6</f>
        <v>0</v>
      </c>
      <c r="C5" s="124">
        <f t="shared" si="0"/>
        <v>0</v>
      </c>
      <c r="D5" s="124">
        <f t="shared" si="0"/>
        <v>0</v>
      </c>
      <c r="E5" s="124">
        <f t="shared" si="0"/>
        <v>0</v>
      </c>
      <c r="F5" s="124">
        <f t="shared" si="0"/>
        <v>0</v>
      </c>
      <c r="G5" s="124">
        <f t="shared" si="0"/>
        <v>0</v>
      </c>
      <c r="H5" s="124">
        <f t="shared" si="0"/>
        <v>0</v>
      </c>
      <c r="I5" s="124">
        <f t="shared" si="0"/>
        <v>0</v>
      </c>
      <c r="J5" s="124">
        <f t="shared" si="0"/>
        <v>0</v>
      </c>
      <c r="K5" s="124">
        <f t="shared" si="0"/>
        <v>0</v>
      </c>
    </row>
    <row r="6" s="103" customFormat="1" ht="18.4" customHeight="1" spans="1:11">
      <c r="A6" s="122" t="s">
        <v>698</v>
      </c>
      <c r="B6" s="36">
        <f t="shared" ref="B6:B10" si="1">SUM(C6:K6)</f>
        <v>0</v>
      </c>
      <c r="C6" s="36"/>
      <c r="D6" s="36"/>
      <c r="E6" s="36"/>
      <c r="F6" s="36"/>
      <c r="G6" s="36"/>
      <c r="H6" s="36"/>
      <c r="I6" s="36"/>
      <c r="J6" s="36"/>
      <c r="K6" s="36"/>
    </row>
    <row r="7" s="404" customFormat="1" ht="18.4" customHeight="1" spans="1:11">
      <c r="A7" s="411" t="s">
        <v>712</v>
      </c>
      <c r="B7" s="124">
        <f>SUM(B8:B10)</f>
        <v>14</v>
      </c>
      <c r="C7" s="124">
        <f t="shared" ref="C7:K7" si="2">C8+C9+C10</f>
        <v>0</v>
      </c>
      <c r="D7" s="124">
        <f t="shared" si="2"/>
        <v>0</v>
      </c>
      <c r="E7" s="124">
        <f t="shared" si="2"/>
        <v>0</v>
      </c>
      <c r="F7" s="124">
        <f t="shared" si="2"/>
        <v>9</v>
      </c>
      <c r="G7" s="124">
        <f t="shared" si="2"/>
        <v>5</v>
      </c>
      <c r="H7" s="124">
        <f t="shared" si="2"/>
        <v>0</v>
      </c>
      <c r="I7" s="124">
        <f t="shared" si="2"/>
        <v>0</v>
      </c>
      <c r="J7" s="124">
        <f t="shared" si="2"/>
        <v>0</v>
      </c>
      <c r="K7" s="124">
        <f t="shared" si="2"/>
        <v>0</v>
      </c>
    </row>
    <row r="8" s="103" customFormat="1" ht="18.4" customHeight="1" spans="1:11">
      <c r="A8" s="143" t="s">
        <v>714</v>
      </c>
      <c r="B8" s="36">
        <f t="shared" si="1"/>
        <v>14</v>
      </c>
      <c r="C8" s="36"/>
      <c r="D8" s="36"/>
      <c r="E8" s="36"/>
      <c r="F8" s="36">
        <v>9</v>
      </c>
      <c r="G8" s="36">
        <v>5</v>
      </c>
      <c r="H8" s="36"/>
      <c r="I8" s="36">
        <f t="shared" ref="I8:K8" si="3">I9+I10</f>
        <v>0</v>
      </c>
      <c r="J8" s="36">
        <f t="shared" si="3"/>
        <v>0</v>
      </c>
      <c r="K8" s="36">
        <f t="shared" si="3"/>
        <v>0</v>
      </c>
    </row>
    <row r="9" s="103" customFormat="1" ht="18.4" customHeight="1" spans="1:11">
      <c r="A9" s="122" t="s">
        <v>726</v>
      </c>
      <c r="B9" s="36">
        <f t="shared" si="1"/>
        <v>0</v>
      </c>
      <c r="C9" s="36"/>
      <c r="D9" s="36"/>
      <c r="E9" s="36"/>
      <c r="F9" s="36"/>
      <c r="G9" s="36"/>
      <c r="H9" s="36"/>
      <c r="I9" s="36"/>
      <c r="J9" s="36"/>
      <c r="K9" s="36"/>
    </row>
    <row r="10" s="103" customFormat="1" ht="18.4" customHeight="1" spans="1:11">
      <c r="A10" s="122" t="s">
        <v>738</v>
      </c>
      <c r="B10" s="36">
        <f t="shared" si="1"/>
        <v>0</v>
      </c>
      <c r="C10" s="36"/>
      <c r="D10" s="36"/>
      <c r="E10" s="36"/>
      <c r="F10" s="36"/>
      <c r="G10" s="36"/>
      <c r="H10" s="36"/>
      <c r="I10" s="36"/>
      <c r="J10" s="36"/>
      <c r="K10" s="36"/>
    </row>
    <row r="11" s="404" customFormat="1" ht="18.4" customHeight="1" spans="1:11">
      <c r="A11" s="410" t="s">
        <v>744</v>
      </c>
      <c r="B11" s="124">
        <f>SUM(B12:B13)</f>
        <v>0</v>
      </c>
      <c r="C11" s="124">
        <f t="shared" ref="C11:K11" si="4">C12+C13</f>
        <v>0</v>
      </c>
      <c r="D11" s="124">
        <f t="shared" si="4"/>
        <v>0</v>
      </c>
      <c r="E11" s="124">
        <f t="shared" si="4"/>
        <v>0</v>
      </c>
      <c r="F11" s="124">
        <f t="shared" si="4"/>
        <v>0</v>
      </c>
      <c r="G11" s="124">
        <f t="shared" si="4"/>
        <v>0</v>
      </c>
      <c r="H11" s="124">
        <f t="shared" si="4"/>
        <v>0</v>
      </c>
      <c r="I11" s="124">
        <f t="shared" si="4"/>
        <v>0</v>
      </c>
      <c r="J11" s="124">
        <f t="shared" si="4"/>
        <v>0</v>
      </c>
      <c r="K11" s="124">
        <f t="shared" si="4"/>
        <v>0</v>
      </c>
    </row>
    <row r="12" s="103" customFormat="1" ht="18.4" customHeight="1" spans="1:11">
      <c r="A12" s="143" t="s">
        <v>746</v>
      </c>
      <c r="B12" s="36">
        <f t="shared" ref="B12:B24" si="5">SUM(C12:K12)</f>
        <v>0</v>
      </c>
      <c r="C12" s="36"/>
      <c r="D12" s="36"/>
      <c r="E12" s="36"/>
      <c r="F12" s="36"/>
      <c r="G12" s="36"/>
      <c r="H12" s="36"/>
      <c r="I12" s="36"/>
      <c r="J12" s="36"/>
      <c r="K12" s="36"/>
    </row>
    <row r="13" s="103" customFormat="1" ht="18.4" customHeight="1" spans="1:11">
      <c r="A13" s="143" t="s">
        <v>756</v>
      </c>
      <c r="B13" s="36">
        <f t="shared" si="5"/>
        <v>0</v>
      </c>
      <c r="C13" s="36"/>
      <c r="D13" s="36"/>
      <c r="E13" s="36"/>
      <c r="F13" s="36"/>
      <c r="G13" s="36"/>
      <c r="H13" s="36"/>
      <c r="I13" s="36"/>
      <c r="J13" s="36"/>
      <c r="K13" s="36"/>
    </row>
    <row r="14" s="103" customFormat="1" ht="18.4" customHeight="1" spans="1:11">
      <c r="A14" s="410" t="s">
        <v>766</v>
      </c>
      <c r="B14" s="124">
        <f t="shared" ref="B14:K14" si="6">SUM(B15:B24)</f>
        <v>25664</v>
      </c>
      <c r="C14" s="124">
        <f t="shared" si="6"/>
        <v>10881</v>
      </c>
      <c r="D14" s="124">
        <f t="shared" si="6"/>
        <v>-6243</v>
      </c>
      <c r="E14" s="124">
        <f t="shared" si="6"/>
        <v>0</v>
      </c>
      <c r="F14" s="124">
        <f t="shared" si="6"/>
        <v>60</v>
      </c>
      <c r="G14" s="124">
        <f t="shared" si="6"/>
        <v>11196</v>
      </c>
      <c r="H14" s="124">
        <f t="shared" si="6"/>
        <v>-756</v>
      </c>
      <c r="I14" s="124">
        <f t="shared" si="6"/>
        <v>0</v>
      </c>
      <c r="J14" s="124">
        <f t="shared" si="6"/>
        <v>10526</v>
      </c>
      <c r="K14" s="124">
        <f t="shared" si="6"/>
        <v>0</v>
      </c>
    </row>
    <row r="15" s="404" customFormat="1" ht="18.4" customHeight="1" spans="1:11">
      <c r="A15" s="143" t="s">
        <v>768</v>
      </c>
      <c r="B15" s="36">
        <f t="shared" si="5"/>
        <v>13812</v>
      </c>
      <c r="C15" s="36">
        <v>10881</v>
      </c>
      <c r="D15" s="36">
        <v>-6243</v>
      </c>
      <c r="E15" s="36"/>
      <c r="F15" s="36">
        <v>60</v>
      </c>
      <c r="G15" s="36">
        <v>10566</v>
      </c>
      <c r="H15" s="36">
        <f>-791-714+53</f>
        <v>-1452</v>
      </c>
      <c r="I15" s="36"/>
      <c r="J15" s="36"/>
      <c r="K15" s="36"/>
    </row>
    <row r="16" s="103" customFormat="1" ht="18.4" customHeight="1" spans="1:11">
      <c r="A16" s="143" t="s">
        <v>800</v>
      </c>
      <c r="B16" s="36">
        <f t="shared" si="5"/>
        <v>0</v>
      </c>
      <c r="C16" s="36"/>
      <c r="D16" s="36"/>
      <c r="E16" s="36"/>
      <c r="F16" s="36"/>
      <c r="G16" s="36"/>
      <c r="H16" s="36"/>
      <c r="I16" s="36"/>
      <c r="J16" s="36"/>
      <c r="K16" s="36"/>
    </row>
    <row r="17" s="103" customFormat="1" ht="18.4" customHeight="1" spans="1:11">
      <c r="A17" s="143" t="s">
        <v>806</v>
      </c>
      <c r="B17" s="36">
        <f t="shared" si="5"/>
        <v>269</v>
      </c>
      <c r="C17" s="36"/>
      <c r="D17" s="36"/>
      <c r="E17" s="36"/>
      <c r="F17" s="36"/>
      <c r="G17" s="36">
        <v>208</v>
      </c>
      <c r="H17" s="36">
        <v>61</v>
      </c>
      <c r="I17" s="36"/>
      <c r="J17" s="36"/>
      <c r="K17" s="36"/>
    </row>
    <row r="18" s="404" customFormat="1" ht="18.4" customHeight="1" spans="1:11">
      <c r="A18" s="143" t="s">
        <v>967</v>
      </c>
      <c r="B18" s="36">
        <f t="shared" si="5"/>
        <v>0</v>
      </c>
      <c r="C18" s="36"/>
      <c r="D18" s="36"/>
      <c r="E18" s="36"/>
      <c r="F18" s="36"/>
      <c r="G18" s="36"/>
      <c r="H18" s="36"/>
      <c r="I18" s="36"/>
      <c r="J18" s="36"/>
      <c r="K18" s="36"/>
    </row>
    <row r="19" s="103" customFormat="1" ht="18.4" customHeight="1" spans="1:11">
      <c r="A19" s="143" t="s">
        <v>820</v>
      </c>
      <c r="B19" s="36">
        <f t="shared" si="5"/>
        <v>396</v>
      </c>
      <c r="C19" s="36"/>
      <c r="D19" s="36"/>
      <c r="E19" s="36"/>
      <c r="F19" s="36"/>
      <c r="G19" s="36"/>
      <c r="H19" s="36">
        <v>396</v>
      </c>
      <c r="I19" s="36"/>
      <c r="J19" s="36"/>
      <c r="K19" s="36"/>
    </row>
    <row r="20" s="103" customFormat="1" ht="18.4" customHeight="1" spans="1:11">
      <c r="A20" s="122" t="s">
        <v>828</v>
      </c>
      <c r="B20" s="36">
        <f t="shared" si="5"/>
        <v>0</v>
      </c>
      <c r="C20" s="36"/>
      <c r="D20" s="36"/>
      <c r="E20" s="36"/>
      <c r="F20" s="36"/>
      <c r="G20" s="36"/>
      <c r="H20" s="36"/>
      <c r="I20" s="36"/>
      <c r="J20" s="36"/>
      <c r="K20" s="36"/>
    </row>
    <row r="21" s="103" customFormat="1" ht="18.4" customHeight="1" spans="1:11">
      <c r="A21" s="143" t="s">
        <v>831</v>
      </c>
      <c r="B21" s="36">
        <f t="shared" si="5"/>
        <v>0</v>
      </c>
      <c r="C21" s="36"/>
      <c r="D21" s="36"/>
      <c r="E21" s="36"/>
      <c r="F21" s="36"/>
      <c r="G21" s="36"/>
      <c r="H21" s="36"/>
      <c r="I21" s="36"/>
      <c r="J21" s="36"/>
      <c r="K21" s="36">
        <f>SUM(K22:K25)</f>
        <v>0</v>
      </c>
    </row>
    <row r="22" s="103" customFormat="1" ht="18.4" customHeight="1" spans="1:11">
      <c r="A22" s="143" t="s">
        <v>833</v>
      </c>
      <c r="B22" s="36">
        <f t="shared" si="5"/>
        <v>0</v>
      </c>
      <c r="C22" s="36"/>
      <c r="D22" s="36"/>
      <c r="E22" s="36"/>
      <c r="F22" s="36"/>
      <c r="G22" s="36"/>
      <c r="H22" s="36"/>
      <c r="I22" s="36"/>
      <c r="J22" s="36"/>
      <c r="K22" s="36"/>
    </row>
    <row r="23" s="103" customFormat="1" ht="18.4" customHeight="1" spans="1:11">
      <c r="A23" s="143" t="s">
        <v>835</v>
      </c>
      <c r="B23" s="36">
        <f t="shared" si="5"/>
        <v>0</v>
      </c>
      <c r="C23" s="36"/>
      <c r="D23" s="36"/>
      <c r="E23" s="36"/>
      <c r="F23" s="36"/>
      <c r="G23" s="36"/>
      <c r="H23" s="36"/>
      <c r="I23" s="36"/>
      <c r="J23" s="36"/>
      <c r="K23" s="36"/>
    </row>
    <row r="24" s="103" customFormat="1" ht="18.4" customHeight="1" spans="1:11">
      <c r="A24" s="42" t="s">
        <v>837</v>
      </c>
      <c r="B24" s="36">
        <f t="shared" si="5"/>
        <v>11187</v>
      </c>
      <c r="C24" s="36"/>
      <c r="D24" s="36"/>
      <c r="E24" s="36"/>
      <c r="F24" s="36"/>
      <c r="G24" s="36">
        <v>422</v>
      </c>
      <c r="H24" s="36">
        <v>239</v>
      </c>
      <c r="I24" s="36"/>
      <c r="J24" s="36">
        <f>8888+1638</f>
        <v>10526</v>
      </c>
      <c r="K24" s="36"/>
    </row>
    <row r="25" s="103" customFormat="1" ht="18.4" customHeight="1" spans="1:11">
      <c r="A25" s="278" t="s">
        <v>839</v>
      </c>
      <c r="B25" s="124">
        <f t="shared" ref="B25:K25" si="7">SUM(B26:B33)</f>
        <v>8249</v>
      </c>
      <c r="C25" s="124">
        <f t="shared" si="7"/>
        <v>0</v>
      </c>
      <c r="D25" s="124">
        <f t="shared" si="7"/>
        <v>0</v>
      </c>
      <c r="E25" s="124">
        <f t="shared" si="7"/>
        <v>1090</v>
      </c>
      <c r="F25" s="124">
        <f t="shared" si="7"/>
        <v>424</v>
      </c>
      <c r="G25" s="124">
        <f t="shared" si="7"/>
        <v>5761</v>
      </c>
      <c r="H25" s="124">
        <f t="shared" si="7"/>
        <v>974</v>
      </c>
      <c r="I25" s="124">
        <f t="shared" si="7"/>
        <v>0</v>
      </c>
      <c r="J25" s="124">
        <f t="shared" si="7"/>
        <v>0</v>
      </c>
      <c r="K25" s="124">
        <f t="shared" si="7"/>
        <v>0</v>
      </c>
    </row>
    <row r="26" s="103" customFormat="1" ht="19" customHeight="1" spans="1:11">
      <c r="A26" s="42" t="s">
        <v>840</v>
      </c>
      <c r="B26" s="36">
        <f t="shared" ref="B26:B33" si="8">SUM(C26:K26)</f>
        <v>1212</v>
      </c>
      <c r="C26" s="36">
        <f>SUM(C27:C32)</f>
        <v>0</v>
      </c>
      <c r="D26" s="36">
        <f>SUM(D27:D32)</f>
        <v>0</v>
      </c>
      <c r="E26" s="36"/>
      <c r="F26" s="36">
        <v>75</v>
      </c>
      <c r="G26" s="36">
        <v>620</v>
      </c>
      <c r="H26" s="36">
        <v>517</v>
      </c>
      <c r="I26" s="36">
        <f t="shared" ref="I26:K26" si="9">SUM(I27:I32)</f>
        <v>0</v>
      </c>
      <c r="J26" s="36">
        <f t="shared" si="9"/>
        <v>0</v>
      </c>
      <c r="K26" s="36">
        <f t="shared" si="9"/>
        <v>0</v>
      </c>
    </row>
    <row r="27" s="103" customFormat="1" ht="18.4" customHeight="1" spans="1:11">
      <c r="A27" s="42" t="s">
        <v>845</v>
      </c>
      <c r="B27" s="36">
        <f t="shared" si="8"/>
        <v>0</v>
      </c>
      <c r="C27" s="36"/>
      <c r="D27" s="36"/>
      <c r="E27" s="36"/>
      <c r="F27" s="36"/>
      <c r="G27" s="36"/>
      <c r="H27" s="36"/>
      <c r="I27" s="36"/>
      <c r="J27" s="36"/>
      <c r="K27" s="36"/>
    </row>
    <row r="28" s="103" customFormat="1" ht="18.4" customHeight="1" spans="1:11">
      <c r="A28" s="122" t="s">
        <v>848</v>
      </c>
      <c r="B28" s="36">
        <f t="shared" si="8"/>
        <v>241</v>
      </c>
      <c r="C28" s="36"/>
      <c r="D28" s="36"/>
      <c r="E28" s="36"/>
      <c r="F28" s="36"/>
      <c r="G28" s="36">
        <v>235</v>
      </c>
      <c r="H28" s="36">
        <v>6</v>
      </c>
      <c r="I28" s="36"/>
      <c r="J28" s="36"/>
      <c r="K28" s="36"/>
    </row>
    <row r="29" s="404" customFormat="1" ht="18.4" customHeight="1" spans="1:11">
      <c r="A29" s="42" t="s">
        <v>853</v>
      </c>
      <c r="B29" s="36">
        <f t="shared" si="8"/>
        <v>0</v>
      </c>
      <c r="C29" s="36"/>
      <c r="D29" s="36"/>
      <c r="E29" s="36"/>
      <c r="F29" s="36"/>
      <c r="G29" s="36"/>
      <c r="H29" s="36"/>
      <c r="I29" s="36"/>
      <c r="J29" s="36"/>
      <c r="K29" s="36"/>
    </row>
    <row r="30" s="103" customFormat="1" ht="18.4" customHeight="1" spans="1:11">
      <c r="A30" s="42" t="s">
        <v>855</v>
      </c>
      <c r="B30" s="36">
        <f t="shared" si="8"/>
        <v>0</v>
      </c>
      <c r="C30" s="36"/>
      <c r="D30" s="36"/>
      <c r="E30" s="36"/>
      <c r="F30" s="36"/>
      <c r="G30" s="36"/>
      <c r="H30" s="36"/>
      <c r="I30" s="36"/>
      <c r="J30" s="36"/>
      <c r="K30" s="36"/>
    </row>
    <row r="31" s="103" customFormat="1" ht="18.4" customHeight="1" spans="1:11">
      <c r="A31" s="42" t="s">
        <v>858</v>
      </c>
      <c r="B31" s="36">
        <f t="shared" si="8"/>
        <v>6539</v>
      </c>
      <c r="C31" s="36"/>
      <c r="D31" s="36"/>
      <c r="E31" s="36">
        <v>1090</v>
      </c>
      <c r="F31" s="36">
        <v>212</v>
      </c>
      <c r="G31" s="36">
        <v>4825</v>
      </c>
      <c r="H31" s="36">
        <v>412</v>
      </c>
      <c r="I31" s="36"/>
      <c r="J31" s="36"/>
      <c r="K31" s="36"/>
    </row>
    <row r="32" s="103" customFormat="1" ht="18.4" customHeight="1" spans="1:11">
      <c r="A32" s="42" t="s">
        <v>861</v>
      </c>
      <c r="B32" s="36">
        <f t="shared" si="8"/>
        <v>257</v>
      </c>
      <c r="C32" s="36"/>
      <c r="D32" s="36"/>
      <c r="E32" s="36"/>
      <c r="F32" s="36">
        <v>137</v>
      </c>
      <c r="G32" s="36">
        <v>81</v>
      </c>
      <c r="H32" s="36">
        <v>39</v>
      </c>
      <c r="I32" s="36"/>
      <c r="J32" s="36"/>
      <c r="K32" s="36"/>
    </row>
    <row r="33" s="103" customFormat="1" ht="18.4" customHeight="1" spans="1:11">
      <c r="A33" s="42" t="s">
        <v>968</v>
      </c>
      <c r="B33" s="36">
        <f t="shared" si="8"/>
        <v>0</v>
      </c>
      <c r="C33" s="36"/>
      <c r="D33" s="36"/>
      <c r="E33" s="36"/>
      <c r="F33" s="36"/>
      <c r="G33" s="36"/>
      <c r="H33" s="36"/>
      <c r="I33" s="36"/>
      <c r="J33" s="36"/>
      <c r="K33" s="36">
        <f>SUM(K34:K35)</f>
        <v>0</v>
      </c>
    </row>
    <row r="34" s="103" customFormat="1" ht="18.4" customHeight="1" spans="1:11">
      <c r="A34" s="278" t="s">
        <v>865</v>
      </c>
      <c r="B34" s="124">
        <f t="shared" ref="B34:K34" si="10">SUM(B35:B42)</f>
        <v>0</v>
      </c>
      <c r="C34" s="124">
        <f t="shared" si="10"/>
        <v>0</v>
      </c>
      <c r="D34" s="124">
        <f t="shared" si="10"/>
        <v>0</v>
      </c>
      <c r="E34" s="124">
        <f t="shared" si="10"/>
        <v>0</v>
      </c>
      <c r="F34" s="124">
        <f t="shared" si="10"/>
        <v>0</v>
      </c>
      <c r="G34" s="124">
        <f t="shared" si="10"/>
        <v>0</v>
      </c>
      <c r="H34" s="124">
        <f t="shared" si="10"/>
        <v>0</v>
      </c>
      <c r="I34" s="124">
        <f t="shared" si="10"/>
        <v>0</v>
      </c>
      <c r="J34" s="124">
        <f t="shared" si="10"/>
        <v>0</v>
      </c>
      <c r="K34" s="124">
        <f t="shared" si="10"/>
        <v>0</v>
      </c>
    </row>
    <row r="35" s="103" customFormat="1" ht="18.4" customHeight="1" spans="1:11">
      <c r="A35" s="122" t="s">
        <v>866</v>
      </c>
      <c r="B35" s="36">
        <f t="shared" ref="B35:B42" si="11">SUM(C35:K35)</f>
        <v>0</v>
      </c>
      <c r="C35" s="36">
        <f t="shared" ref="C35:K35" si="12">C36+C37</f>
        <v>0</v>
      </c>
      <c r="D35" s="36">
        <f t="shared" si="12"/>
        <v>0</v>
      </c>
      <c r="E35" s="36">
        <f t="shared" si="12"/>
        <v>0</v>
      </c>
      <c r="F35" s="36">
        <f t="shared" si="12"/>
        <v>0</v>
      </c>
      <c r="G35" s="36">
        <f t="shared" si="12"/>
        <v>0</v>
      </c>
      <c r="H35" s="36">
        <f t="shared" si="12"/>
        <v>0</v>
      </c>
      <c r="I35" s="36">
        <f t="shared" si="12"/>
        <v>0</v>
      </c>
      <c r="J35" s="36">
        <f t="shared" si="12"/>
        <v>0</v>
      </c>
      <c r="K35" s="36">
        <f t="shared" si="12"/>
        <v>0</v>
      </c>
    </row>
    <row r="36" s="103" customFormat="1" ht="18.4" customHeight="1" spans="1:11">
      <c r="A36" s="42" t="s">
        <v>871</v>
      </c>
      <c r="B36" s="36">
        <f t="shared" si="11"/>
        <v>0</v>
      </c>
      <c r="C36" s="36"/>
      <c r="D36" s="36"/>
      <c r="E36" s="36"/>
      <c r="F36" s="36"/>
      <c r="G36" s="36"/>
      <c r="H36" s="36"/>
      <c r="I36" s="36"/>
      <c r="J36" s="36"/>
      <c r="K36" s="36"/>
    </row>
    <row r="37" s="103" customFormat="1" ht="18.4" customHeight="1" spans="1:11">
      <c r="A37" s="15" t="s">
        <v>875</v>
      </c>
      <c r="B37" s="36">
        <f t="shared" si="11"/>
        <v>0</v>
      </c>
      <c r="C37" s="36"/>
      <c r="D37" s="36"/>
      <c r="E37" s="36"/>
      <c r="F37" s="36"/>
      <c r="G37" s="36"/>
      <c r="H37" s="36"/>
      <c r="I37" s="36"/>
      <c r="J37" s="36"/>
      <c r="K37" s="36"/>
    </row>
    <row r="38" s="404" customFormat="1" ht="18.4" customHeight="1" spans="1:11">
      <c r="A38" s="42" t="s">
        <v>884</v>
      </c>
      <c r="B38" s="36">
        <f t="shared" si="11"/>
        <v>0</v>
      </c>
      <c r="C38" s="36">
        <f t="shared" ref="C38:K38" si="13">C39</f>
        <v>0</v>
      </c>
      <c r="D38" s="36">
        <f t="shared" si="13"/>
        <v>0</v>
      </c>
      <c r="E38" s="36">
        <f t="shared" si="13"/>
        <v>0</v>
      </c>
      <c r="F38" s="36">
        <f t="shared" si="13"/>
        <v>0</v>
      </c>
      <c r="G38" s="36">
        <f t="shared" si="13"/>
        <v>0</v>
      </c>
      <c r="H38" s="36">
        <f t="shared" si="13"/>
        <v>0</v>
      </c>
      <c r="I38" s="36">
        <f t="shared" si="13"/>
        <v>0</v>
      </c>
      <c r="J38" s="36">
        <f t="shared" si="13"/>
        <v>0</v>
      </c>
      <c r="K38" s="36">
        <f t="shared" si="13"/>
        <v>0</v>
      </c>
    </row>
    <row r="39" s="103" customFormat="1" ht="18.4" customHeight="1" spans="1:11">
      <c r="A39" s="122" t="s">
        <v>891</v>
      </c>
      <c r="B39" s="36">
        <f t="shared" si="11"/>
        <v>0</v>
      </c>
      <c r="C39" s="36"/>
      <c r="D39" s="36"/>
      <c r="E39" s="36"/>
      <c r="F39" s="36"/>
      <c r="G39" s="36"/>
      <c r="H39" s="36"/>
      <c r="I39" s="36"/>
      <c r="J39" s="36"/>
      <c r="K39" s="36"/>
    </row>
    <row r="40" s="103" customFormat="1" ht="18.4" customHeight="1" spans="1:11">
      <c r="A40" s="42" t="s">
        <v>901</v>
      </c>
      <c r="B40" s="36">
        <f t="shared" si="11"/>
        <v>0</v>
      </c>
      <c r="C40" s="36"/>
      <c r="D40" s="36"/>
      <c r="E40" s="36"/>
      <c r="F40" s="36"/>
      <c r="G40" s="36"/>
      <c r="H40" s="36"/>
      <c r="I40" s="36"/>
      <c r="J40" s="36"/>
      <c r="K40" s="36">
        <f>SUM(K41:K43)</f>
        <v>0</v>
      </c>
    </row>
    <row r="41" s="103" customFormat="1" ht="18.4" customHeight="1" spans="1:11">
      <c r="A41" s="42" t="s">
        <v>903</v>
      </c>
      <c r="B41" s="36">
        <f t="shared" si="11"/>
        <v>0</v>
      </c>
      <c r="C41" s="36"/>
      <c r="D41" s="36"/>
      <c r="E41" s="36"/>
      <c r="F41" s="36"/>
      <c r="G41" s="36"/>
      <c r="H41" s="36"/>
      <c r="I41" s="36"/>
      <c r="J41" s="36"/>
      <c r="K41" s="36"/>
    </row>
    <row r="42" s="103" customFormat="1" ht="18.4" customHeight="1" spans="1:11">
      <c r="A42" s="42" t="s">
        <v>905</v>
      </c>
      <c r="B42" s="36">
        <f t="shared" si="11"/>
        <v>0</v>
      </c>
      <c r="C42" s="36"/>
      <c r="D42" s="36"/>
      <c r="E42" s="36"/>
      <c r="F42" s="36"/>
      <c r="G42" s="36"/>
      <c r="H42" s="36"/>
      <c r="I42" s="36"/>
      <c r="J42" s="36"/>
      <c r="K42" s="36"/>
    </row>
    <row r="43" s="103" customFormat="1" ht="18.4" customHeight="1" spans="1:11">
      <c r="A43" s="411" t="s">
        <v>906</v>
      </c>
      <c r="B43" s="124">
        <f t="shared" ref="B43:K43" si="14">B44+B45</f>
        <v>557</v>
      </c>
      <c r="C43" s="124">
        <f t="shared" si="14"/>
        <v>0</v>
      </c>
      <c r="D43" s="124">
        <f t="shared" si="14"/>
        <v>0</v>
      </c>
      <c r="E43" s="124">
        <f t="shared" si="14"/>
        <v>0</v>
      </c>
      <c r="F43" s="124">
        <f t="shared" si="14"/>
        <v>557</v>
      </c>
      <c r="G43" s="124">
        <f t="shared" si="14"/>
        <v>0</v>
      </c>
      <c r="H43" s="124">
        <f t="shared" si="14"/>
        <v>0</v>
      </c>
      <c r="I43" s="124">
        <f t="shared" si="14"/>
        <v>0</v>
      </c>
      <c r="J43" s="124">
        <f t="shared" si="14"/>
        <v>0</v>
      </c>
      <c r="K43" s="124">
        <f t="shared" si="14"/>
        <v>0</v>
      </c>
    </row>
    <row r="44" s="103" customFormat="1" ht="18.4" customHeight="1" spans="1:11">
      <c r="A44" s="122" t="s">
        <v>907</v>
      </c>
      <c r="B44" s="36">
        <f t="shared" ref="B44:B47" si="15">SUM(C44:K44)</f>
        <v>0</v>
      </c>
      <c r="C44" s="36"/>
      <c r="D44" s="36"/>
      <c r="E44" s="36"/>
      <c r="F44" s="36"/>
      <c r="G44" s="36"/>
      <c r="H44" s="36"/>
      <c r="I44" s="36"/>
      <c r="J44" s="36"/>
      <c r="K44" s="36"/>
    </row>
    <row r="45" s="103" customFormat="1" ht="18.4" customHeight="1" spans="1:11">
      <c r="A45" s="122" t="s">
        <v>969</v>
      </c>
      <c r="B45" s="36">
        <f t="shared" si="15"/>
        <v>557</v>
      </c>
      <c r="C45" s="36"/>
      <c r="D45" s="36"/>
      <c r="E45" s="36"/>
      <c r="F45" s="36">
        <v>557</v>
      </c>
      <c r="G45" s="36"/>
      <c r="H45" s="36"/>
      <c r="I45" s="36"/>
      <c r="J45" s="36"/>
      <c r="K45" s="36"/>
    </row>
    <row r="46" s="103" customFormat="1" ht="18.4" customHeight="1" spans="1:11">
      <c r="A46" s="411" t="s">
        <v>912</v>
      </c>
      <c r="B46" s="124">
        <f t="shared" ref="B46:K46" si="16">B47</f>
        <v>0</v>
      </c>
      <c r="C46" s="124">
        <f t="shared" si="16"/>
        <v>0</v>
      </c>
      <c r="D46" s="124">
        <f t="shared" si="16"/>
        <v>0</v>
      </c>
      <c r="E46" s="124">
        <f t="shared" si="16"/>
        <v>0</v>
      </c>
      <c r="F46" s="124">
        <f t="shared" si="16"/>
        <v>0</v>
      </c>
      <c r="G46" s="124">
        <f t="shared" si="16"/>
        <v>0</v>
      </c>
      <c r="H46" s="124">
        <f t="shared" si="16"/>
        <v>0</v>
      </c>
      <c r="I46" s="124">
        <f t="shared" si="16"/>
        <v>0</v>
      </c>
      <c r="J46" s="124">
        <f t="shared" si="16"/>
        <v>0</v>
      </c>
      <c r="K46" s="124">
        <f t="shared" si="16"/>
        <v>0</v>
      </c>
    </row>
    <row r="47" s="404" customFormat="1" ht="18.4" customHeight="1" spans="1:11">
      <c r="A47" s="122" t="s">
        <v>913</v>
      </c>
      <c r="B47" s="36">
        <f t="shared" si="15"/>
        <v>0</v>
      </c>
      <c r="C47" s="36"/>
      <c r="D47" s="36"/>
      <c r="E47" s="36"/>
      <c r="F47" s="36"/>
      <c r="G47" s="36"/>
      <c r="H47" s="36"/>
      <c r="I47" s="36"/>
      <c r="J47" s="36"/>
      <c r="K47" s="36"/>
    </row>
    <row r="48" s="103" customFormat="1" ht="18.4" customHeight="1" spans="1:11">
      <c r="A48" s="411" t="s">
        <v>916</v>
      </c>
      <c r="B48" s="124">
        <f t="shared" ref="B48:K48" si="17">SUM(B49:B52)</f>
        <v>3428</v>
      </c>
      <c r="C48" s="124">
        <f t="shared" si="17"/>
        <v>0</v>
      </c>
      <c r="D48" s="124">
        <f t="shared" si="17"/>
        <v>0</v>
      </c>
      <c r="E48" s="124">
        <f t="shared" si="17"/>
        <v>284</v>
      </c>
      <c r="F48" s="124">
        <f t="shared" si="17"/>
        <v>105</v>
      </c>
      <c r="G48" s="124">
        <f t="shared" si="17"/>
        <v>2415</v>
      </c>
      <c r="H48" s="124">
        <f t="shared" si="17"/>
        <v>624</v>
      </c>
      <c r="I48" s="124">
        <f t="shared" si="17"/>
        <v>0</v>
      </c>
      <c r="J48" s="124">
        <f t="shared" si="17"/>
        <v>0</v>
      </c>
      <c r="K48" s="124">
        <f t="shared" si="17"/>
        <v>0</v>
      </c>
    </row>
    <row r="49" s="404" customFormat="1" ht="18.4" customHeight="1" spans="1:11">
      <c r="A49" s="122" t="s">
        <v>917</v>
      </c>
      <c r="B49" s="36">
        <f t="shared" ref="B49:B52" si="18">SUM(C49:K49)</f>
        <v>1665</v>
      </c>
      <c r="C49" s="36"/>
      <c r="D49" s="36"/>
      <c r="E49" s="36"/>
      <c r="F49" s="36"/>
      <c r="G49" s="36">
        <v>1100</v>
      </c>
      <c r="H49" s="36">
        <v>565</v>
      </c>
      <c r="I49" s="36"/>
      <c r="J49" s="36"/>
      <c r="K49" s="36"/>
    </row>
    <row r="50" s="103" customFormat="1" ht="18.4" customHeight="1" spans="1:11">
      <c r="A50" s="122" t="s">
        <v>921</v>
      </c>
      <c r="B50" s="36">
        <f t="shared" si="18"/>
        <v>0</v>
      </c>
      <c r="C50" s="36"/>
      <c r="D50" s="36"/>
      <c r="E50" s="36"/>
      <c r="F50" s="36"/>
      <c r="G50" s="36"/>
      <c r="H50" s="36"/>
      <c r="I50" s="36"/>
      <c r="J50" s="36"/>
      <c r="K50" s="36"/>
    </row>
    <row r="51" s="404" customFormat="1" ht="18.4" customHeight="1" spans="1:11">
      <c r="A51" s="122" t="s">
        <v>930</v>
      </c>
      <c r="B51" s="36">
        <f t="shared" si="18"/>
        <v>0</v>
      </c>
      <c r="C51" s="36"/>
      <c r="D51" s="36"/>
      <c r="E51" s="36"/>
      <c r="F51" s="36"/>
      <c r="G51" s="36"/>
      <c r="H51" s="36"/>
      <c r="I51" s="36"/>
      <c r="J51" s="36"/>
      <c r="K51" s="36"/>
    </row>
    <row r="52" s="103" customFormat="1" ht="18.4" customHeight="1" spans="1:11">
      <c r="A52" s="122" t="s">
        <v>931</v>
      </c>
      <c r="B52" s="36">
        <f t="shared" si="18"/>
        <v>1763</v>
      </c>
      <c r="C52" s="36"/>
      <c r="D52" s="36"/>
      <c r="E52" s="36">
        <v>284</v>
      </c>
      <c r="F52" s="36">
        <v>105</v>
      </c>
      <c r="G52" s="36">
        <v>1315</v>
      </c>
      <c r="H52" s="36">
        <v>59</v>
      </c>
      <c r="I52" s="36"/>
      <c r="J52" s="36"/>
      <c r="K52" s="36"/>
    </row>
    <row r="53" s="404" customFormat="1" ht="18.4" customHeight="1" spans="1:11">
      <c r="A53" s="411" t="s">
        <v>970</v>
      </c>
      <c r="B53" s="124">
        <f>SUM(C53:J53)</f>
        <v>8423</v>
      </c>
      <c r="C53" s="124"/>
      <c r="D53" s="124"/>
      <c r="E53" s="124"/>
      <c r="F53" s="124"/>
      <c r="G53" s="124"/>
      <c r="H53" s="124"/>
      <c r="I53" s="124"/>
      <c r="J53" s="124">
        <v>8423</v>
      </c>
      <c r="K53" s="124"/>
    </row>
    <row r="54" s="103" customFormat="1" ht="18.4" customHeight="1" spans="1:11">
      <c r="A54" s="411" t="s">
        <v>943</v>
      </c>
      <c r="B54" s="124">
        <f t="shared" ref="B54:B58" si="19">SUM(C54:K54)</f>
        <v>939</v>
      </c>
      <c r="C54" s="124">
        <v>1187</v>
      </c>
      <c r="D54" s="124">
        <v>-248</v>
      </c>
      <c r="E54" s="124"/>
      <c r="F54" s="124"/>
      <c r="G54" s="124"/>
      <c r="H54" s="124"/>
      <c r="I54" s="124"/>
      <c r="J54" s="124"/>
      <c r="K54" s="124"/>
    </row>
    <row r="55" s="103" customFormat="1" ht="18.4" customHeight="1" spans="1:11">
      <c r="A55" s="411" t="s">
        <v>944</v>
      </c>
      <c r="B55" s="124">
        <f t="shared" si="19"/>
        <v>19</v>
      </c>
      <c r="C55" s="124"/>
      <c r="D55" s="124">
        <v>19</v>
      </c>
      <c r="E55" s="124"/>
      <c r="F55" s="124"/>
      <c r="G55" s="124"/>
      <c r="H55" s="124"/>
      <c r="I55" s="124"/>
      <c r="J55" s="124"/>
      <c r="K55" s="124"/>
    </row>
    <row r="56" s="103" customFormat="1" ht="18.4" customHeight="1" spans="1:11">
      <c r="A56" s="411" t="s">
        <v>945</v>
      </c>
      <c r="B56" s="124">
        <f t="shared" si="19"/>
        <v>0</v>
      </c>
      <c r="C56" s="124"/>
      <c r="D56" s="124"/>
      <c r="E56" s="124"/>
      <c r="F56" s="124"/>
      <c r="G56" s="124"/>
      <c r="H56" s="124"/>
      <c r="I56" s="124"/>
      <c r="J56" s="124"/>
      <c r="K56" s="124"/>
    </row>
    <row r="57" s="404" customFormat="1" ht="18.4" customHeight="1" spans="1:11">
      <c r="A57" s="411" t="s">
        <v>971</v>
      </c>
      <c r="B57" s="308">
        <f t="shared" si="19"/>
        <v>0</v>
      </c>
      <c r="C57" s="308">
        <v>8152</v>
      </c>
      <c r="D57" s="308">
        <v>-8152</v>
      </c>
      <c r="E57" s="308"/>
      <c r="F57" s="308"/>
      <c r="G57" s="308"/>
      <c r="H57" s="308"/>
      <c r="I57" s="308"/>
      <c r="J57" s="308"/>
      <c r="K57" s="308"/>
    </row>
    <row r="58" s="103" customFormat="1" ht="18.4" customHeight="1" spans="1:11">
      <c r="A58" s="100"/>
      <c r="B58" s="159">
        <f t="shared" si="19"/>
        <v>0</v>
      </c>
      <c r="C58" s="159"/>
      <c r="D58" s="159"/>
      <c r="E58" s="159"/>
      <c r="F58" s="159"/>
      <c r="G58" s="159"/>
      <c r="H58" s="159"/>
      <c r="I58" s="159"/>
      <c r="J58" s="159"/>
      <c r="K58" s="159"/>
    </row>
    <row r="59" s="103" customFormat="1" ht="18.4" customHeight="1" spans="1:11">
      <c r="A59" s="100"/>
      <c r="B59" s="159"/>
      <c r="C59" s="159"/>
      <c r="D59" s="159"/>
      <c r="E59" s="159"/>
      <c r="F59" s="159"/>
      <c r="G59" s="159"/>
      <c r="H59" s="159"/>
      <c r="I59" s="159"/>
      <c r="J59" s="159"/>
      <c r="K59" s="159"/>
    </row>
    <row r="60" s="404" customFormat="1" ht="18.4" customHeight="1" spans="1:11">
      <c r="A60" s="123" t="s">
        <v>215</v>
      </c>
      <c r="B60" s="308">
        <f t="shared" ref="B60:J60" si="20">B5+B7+B11+B14+B25+B34+B43+B46+B48+B54+B55+B56+B57+B53</f>
        <v>47293</v>
      </c>
      <c r="C60" s="308">
        <f t="shared" si="20"/>
        <v>20220</v>
      </c>
      <c r="D60" s="308">
        <f t="shared" si="20"/>
        <v>-14624</v>
      </c>
      <c r="E60" s="308">
        <f t="shared" si="20"/>
        <v>1374</v>
      </c>
      <c r="F60" s="308">
        <f t="shared" si="20"/>
        <v>1155</v>
      </c>
      <c r="G60" s="308">
        <f t="shared" si="20"/>
        <v>19377</v>
      </c>
      <c r="H60" s="308">
        <f t="shared" si="20"/>
        <v>842</v>
      </c>
      <c r="I60" s="308">
        <f t="shared" si="20"/>
        <v>0</v>
      </c>
      <c r="J60" s="308">
        <f t="shared" si="20"/>
        <v>18949</v>
      </c>
      <c r="K60" s="308">
        <f>K5+K7+K11+K14+K25+K34+K43+K46+K48+K54+K55+K56+K57</f>
        <v>0</v>
      </c>
    </row>
    <row r="61" s="104" customFormat="1" ht="18.4" customHeight="1"/>
    <row r="62" s="104" customFormat="1" ht="20.1" customHeight="1"/>
    <row r="63" s="104" customFormat="1" ht="20.1" customHeight="1"/>
    <row r="64" s="104" customFormat="1" ht="20.1" customHeight="1"/>
    <row r="65" s="104" customFormat="1" ht="20.1" customHeight="1"/>
    <row r="66" s="104" customFormat="1" ht="20.1" customHeight="1"/>
    <row r="67" s="104" customFormat="1" ht="20.1" customHeight="1"/>
    <row r="68" s="104" customFormat="1" ht="20.1" customHeight="1"/>
    <row r="69" ht="20.1" customHeight="1"/>
    <row r="70" ht="20.1" customHeight="1"/>
    <row r="71" ht="20.1" customHeight="1"/>
  </sheetData>
  <mergeCells count="12">
    <mergeCell ref="A1:K1"/>
    <mergeCell ref="A3:A4"/>
    <mergeCell ref="B3:B4"/>
    <mergeCell ref="C3:C4"/>
    <mergeCell ref="D3:D4"/>
    <mergeCell ref="E3:E4"/>
    <mergeCell ref="F3:F4"/>
    <mergeCell ref="G3:G4"/>
    <mergeCell ref="H3:H4"/>
    <mergeCell ref="I3:I4"/>
    <mergeCell ref="J3:J4"/>
    <mergeCell ref="K3:K4"/>
  </mergeCells>
  <pageMargins left="0.708661417322835" right="0.708661417322835" top="0.551181102362205" bottom="0.748031496062992" header="0.31496062992126" footer="0.31496062992126"/>
  <pageSetup paperSize="9" scale="83" fitToHeight="10" orientation="landscape" blackAndWhite="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0"/>
  <sheetViews>
    <sheetView zoomScaleSheetLayoutView="60" workbookViewId="0">
      <selection activeCell="F8" sqref="F8"/>
    </sheetView>
  </sheetViews>
  <sheetFormatPr defaultColWidth="9" defaultRowHeight="30" customHeight="1"/>
  <cols>
    <col min="1" max="1" width="33.25" style="102" customWidth="1"/>
    <col min="2" max="2" width="8.5" style="102"/>
    <col min="3" max="3" width="10" style="102" customWidth="1"/>
    <col min="4" max="4" width="9.875" style="394" customWidth="1"/>
    <col min="5" max="5" width="11.5" style="394" customWidth="1"/>
    <col min="6" max="6" width="35.375" style="394"/>
    <col min="7" max="7" width="8.5" style="394"/>
    <col min="8" max="8" width="11" style="394" customWidth="1"/>
    <col min="9" max="9" width="8.5" style="394"/>
    <col min="10" max="10" width="11.25" style="394" customWidth="1"/>
    <col min="11" max="11" width="9" style="102" customWidth="1"/>
    <col min="12" max="12" width="9.375" style="102" customWidth="1"/>
    <col min="13" max="14" width="9" style="102" customWidth="1"/>
    <col min="15" max="252" width="9" style="102"/>
    <col min="253" max="16384" width="9" style="196"/>
  </cols>
  <sheetData>
    <row r="1" s="102" customFormat="1" customHeight="1" spans="1:256">
      <c r="A1" s="599" t="s">
        <v>972</v>
      </c>
      <c r="B1" s="105"/>
      <c r="C1" s="105"/>
      <c r="D1" s="105"/>
      <c r="E1" s="105"/>
      <c r="F1" s="105"/>
      <c r="G1" s="105"/>
      <c r="H1" s="105"/>
      <c r="I1" s="105"/>
      <c r="J1" s="105"/>
      <c r="IS1" s="196"/>
      <c r="IT1" s="196"/>
      <c r="IU1" s="196"/>
      <c r="IV1" s="196"/>
    </row>
    <row r="2" s="102" customFormat="1" customHeight="1" spans="1:256">
      <c r="A2" s="57"/>
      <c r="B2" s="57"/>
      <c r="C2" s="57"/>
      <c r="D2" s="58"/>
      <c r="E2" s="58"/>
      <c r="F2" s="102"/>
      <c r="G2" s="102"/>
      <c r="H2" s="102"/>
      <c r="I2" s="102"/>
      <c r="J2" s="59" t="s">
        <v>973</v>
      </c>
      <c r="IS2" s="196"/>
      <c r="IT2" s="196"/>
      <c r="IU2" s="196"/>
      <c r="IV2" s="196"/>
    </row>
    <row r="3" s="392" customFormat="1" customHeight="1" spans="1:10">
      <c r="A3" s="353" t="s">
        <v>974</v>
      </c>
      <c r="B3" s="395"/>
      <c r="C3" s="395"/>
      <c r="D3" s="395"/>
      <c r="E3" s="354"/>
      <c r="F3" s="353" t="s">
        <v>975</v>
      </c>
      <c r="G3" s="395"/>
      <c r="H3" s="395"/>
      <c r="I3" s="395"/>
      <c r="J3" s="354"/>
    </row>
    <row r="4" s="392" customFormat="1" customHeight="1" spans="1:10">
      <c r="A4" s="396" t="s">
        <v>976</v>
      </c>
      <c r="B4" s="396" t="s">
        <v>86</v>
      </c>
      <c r="C4" s="616" t="s">
        <v>977</v>
      </c>
      <c r="D4" s="396" t="s">
        <v>978</v>
      </c>
      <c r="E4" s="397" t="s">
        <v>979</v>
      </c>
      <c r="F4" s="396" t="s">
        <v>976</v>
      </c>
      <c r="G4" s="396" t="s">
        <v>86</v>
      </c>
      <c r="H4" s="616" t="s">
        <v>977</v>
      </c>
      <c r="I4" s="396" t="s">
        <v>978</v>
      </c>
      <c r="J4" s="397" t="s">
        <v>979</v>
      </c>
    </row>
    <row r="5" s="392" customFormat="1" customHeight="1" spans="1:10">
      <c r="A5" s="617" t="s">
        <v>980</v>
      </c>
      <c r="B5" s="69">
        <f>SUM(B6:B11)</f>
        <v>24378</v>
      </c>
      <c r="C5" s="69">
        <f>SUM(C6:C11)</f>
        <v>28050</v>
      </c>
      <c r="D5" s="69">
        <f>SUM(D6:D11)</f>
        <v>27590</v>
      </c>
      <c r="E5" s="398">
        <f t="shared" ref="E5:E20" si="0">D5/C5*100</f>
        <v>98.36</v>
      </c>
      <c r="F5" s="617" t="s">
        <v>981</v>
      </c>
      <c r="G5" s="69">
        <f t="shared" ref="G5:I5" si="1">SUM(G6:G10)</f>
        <v>23747</v>
      </c>
      <c r="H5" s="69">
        <f t="shared" si="1"/>
        <v>24479</v>
      </c>
      <c r="I5" s="69">
        <f t="shared" si="1"/>
        <v>24459</v>
      </c>
      <c r="J5" s="398">
        <f t="shared" ref="J5:J9" si="2">I5/H5*100</f>
        <v>99.92</v>
      </c>
    </row>
    <row r="6" s="392" customFormat="1" customHeight="1" spans="1:10">
      <c r="A6" s="74" t="s">
        <v>982</v>
      </c>
      <c r="B6" s="73">
        <v>14890</v>
      </c>
      <c r="C6" s="73">
        <v>17457</v>
      </c>
      <c r="D6" s="73">
        <v>17547</v>
      </c>
      <c r="E6" s="399">
        <f t="shared" si="0"/>
        <v>100.52</v>
      </c>
      <c r="F6" s="74" t="s">
        <v>983</v>
      </c>
      <c r="G6" s="75">
        <v>23672</v>
      </c>
      <c r="H6" s="75">
        <v>24367</v>
      </c>
      <c r="I6" s="75">
        <v>24375</v>
      </c>
      <c r="J6" s="399">
        <f t="shared" si="2"/>
        <v>100.03</v>
      </c>
    </row>
    <row r="7" s="392" customFormat="1" customHeight="1" spans="1:10">
      <c r="A7" s="618" t="s">
        <v>984</v>
      </c>
      <c r="B7" s="75">
        <v>8318</v>
      </c>
      <c r="C7" s="75">
        <v>8318</v>
      </c>
      <c r="D7" s="75">
        <v>7858</v>
      </c>
      <c r="E7" s="399">
        <f t="shared" si="0"/>
        <v>94.47</v>
      </c>
      <c r="F7" s="74" t="s">
        <v>985</v>
      </c>
      <c r="G7" s="75"/>
      <c r="H7" s="75"/>
      <c r="I7" s="75"/>
      <c r="J7" s="399"/>
    </row>
    <row r="8" s="392" customFormat="1" customHeight="1" spans="1:10">
      <c r="A8" s="74" t="s">
        <v>986</v>
      </c>
      <c r="B8" s="75"/>
      <c r="C8" s="75">
        <v>15</v>
      </c>
      <c r="D8" s="75">
        <v>21</v>
      </c>
      <c r="E8" s="399">
        <f t="shared" si="0"/>
        <v>140</v>
      </c>
      <c r="F8" s="74" t="s">
        <v>987</v>
      </c>
      <c r="G8" s="75">
        <v>75</v>
      </c>
      <c r="H8" s="75">
        <v>75</v>
      </c>
      <c r="I8" s="75">
        <v>19</v>
      </c>
      <c r="J8" s="399">
        <f t="shared" si="2"/>
        <v>25.33</v>
      </c>
    </row>
    <row r="9" s="392" customFormat="1" customHeight="1" spans="1:10">
      <c r="A9" s="74" t="s">
        <v>988</v>
      </c>
      <c r="B9" s="75"/>
      <c r="C9" s="75">
        <v>550</v>
      </c>
      <c r="D9" s="77">
        <v>464</v>
      </c>
      <c r="E9" s="399">
        <f t="shared" si="0"/>
        <v>84.36</v>
      </c>
      <c r="F9" s="74" t="s">
        <v>989</v>
      </c>
      <c r="G9" s="75"/>
      <c r="H9" s="75">
        <v>37</v>
      </c>
      <c r="I9" s="77">
        <v>65</v>
      </c>
      <c r="J9" s="399">
        <f t="shared" si="2"/>
        <v>175.68</v>
      </c>
    </row>
    <row r="10" s="392" customFormat="1" customHeight="1" spans="1:10">
      <c r="A10" s="74" t="s">
        <v>990</v>
      </c>
      <c r="B10" s="75">
        <v>12</v>
      </c>
      <c r="C10" s="75">
        <v>12</v>
      </c>
      <c r="D10" s="75">
        <v>2</v>
      </c>
      <c r="E10" s="399">
        <f t="shared" si="0"/>
        <v>16.67</v>
      </c>
      <c r="F10" s="74"/>
      <c r="G10" s="75"/>
      <c r="H10" s="75"/>
      <c r="I10" s="69"/>
      <c r="J10" s="399"/>
    </row>
    <row r="11" s="392" customFormat="1" customHeight="1" spans="1:10">
      <c r="A11" s="79" t="s">
        <v>991</v>
      </c>
      <c r="B11" s="400">
        <v>1158</v>
      </c>
      <c r="C11" s="400">
        <v>1698</v>
      </c>
      <c r="D11" s="69">
        <v>1698</v>
      </c>
      <c r="E11" s="398">
        <f t="shared" si="0"/>
        <v>100</v>
      </c>
      <c r="F11" s="79" t="s">
        <v>992</v>
      </c>
      <c r="G11" s="400">
        <f>B5-G6-G7-G8</f>
        <v>631</v>
      </c>
      <c r="H11" s="400">
        <f>C5-H6-H7-H8-H9</f>
        <v>3571</v>
      </c>
      <c r="I11" s="400">
        <f>D5-I6-I7-I8-I9</f>
        <v>3131</v>
      </c>
      <c r="J11" s="398">
        <f t="shared" ref="J11:J16" si="3">I11/H11*100</f>
        <v>87.68</v>
      </c>
    </row>
    <row r="12" s="392" customFormat="1" customHeight="1" spans="1:10">
      <c r="A12" s="619" t="s">
        <v>993</v>
      </c>
      <c r="B12" s="69">
        <f>SUM(B13:B19)</f>
        <v>39835</v>
      </c>
      <c r="C12" s="69">
        <f>SUM(C13:C19)</f>
        <v>40643</v>
      </c>
      <c r="D12" s="69">
        <f>SUM(D13:D19)</f>
        <v>37917</v>
      </c>
      <c r="E12" s="398">
        <f t="shared" si="0"/>
        <v>93.29</v>
      </c>
      <c r="F12" s="619" t="s">
        <v>994</v>
      </c>
      <c r="G12" s="69">
        <f t="shared" ref="G12:I12" si="4">SUM(G13:G18)</f>
        <v>10481</v>
      </c>
      <c r="H12" s="69">
        <f t="shared" si="4"/>
        <v>10609</v>
      </c>
      <c r="I12" s="69">
        <f t="shared" si="4"/>
        <v>11138</v>
      </c>
      <c r="J12" s="398">
        <f t="shared" si="3"/>
        <v>104.99</v>
      </c>
    </row>
    <row r="13" s="392" customFormat="1" customHeight="1" spans="1:10">
      <c r="A13" s="74" t="s">
        <v>995</v>
      </c>
      <c r="B13" s="75">
        <v>2597</v>
      </c>
      <c r="C13" s="75">
        <v>2597</v>
      </c>
      <c r="D13" s="75">
        <v>3364</v>
      </c>
      <c r="E13" s="399">
        <f t="shared" si="0"/>
        <v>129.53</v>
      </c>
      <c r="F13" s="74" t="s">
        <v>996</v>
      </c>
      <c r="G13" s="75">
        <v>9889</v>
      </c>
      <c r="H13" s="75">
        <v>9889</v>
      </c>
      <c r="I13" s="75">
        <v>10390</v>
      </c>
      <c r="J13" s="399">
        <f t="shared" si="3"/>
        <v>105.07</v>
      </c>
    </row>
    <row r="14" s="392" customFormat="1" customHeight="1" spans="1:10">
      <c r="A14" s="74" t="s">
        <v>997</v>
      </c>
      <c r="B14" s="75">
        <v>10649</v>
      </c>
      <c r="C14" s="75">
        <v>10275</v>
      </c>
      <c r="D14" s="75">
        <v>6372</v>
      </c>
      <c r="E14" s="399">
        <f t="shared" si="0"/>
        <v>62.01</v>
      </c>
      <c r="F14" s="74" t="s">
        <v>998</v>
      </c>
      <c r="G14" s="75">
        <v>592</v>
      </c>
      <c r="H14" s="75">
        <v>592</v>
      </c>
      <c r="I14" s="75">
        <v>615</v>
      </c>
      <c r="J14" s="399">
        <f t="shared" si="3"/>
        <v>103.89</v>
      </c>
    </row>
    <row r="15" s="393" customFormat="1" customHeight="1" spans="1:256">
      <c r="A15" s="74" t="s">
        <v>986</v>
      </c>
      <c r="B15" s="75"/>
      <c r="C15" s="75">
        <v>99</v>
      </c>
      <c r="D15" s="75">
        <v>100</v>
      </c>
      <c r="E15" s="399">
        <f t="shared" si="0"/>
        <v>101.01</v>
      </c>
      <c r="F15" s="74" t="s">
        <v>999</v>
      </c>
      <c r="G15" s="75"/>
      <c r="H15" s="75">
        <v>126</v>
      </c>
      <c r="I15" s="75">
        <v>123</v>
      </c>
      <c r="J15" s="399">
        <f t="shared" si="3"/>
        <v>97.62</v>
      </c>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403"/>
      <c r="IT15" s="403"/>
      <c r="IU15" s="403"/>
      <c r="IV15" s="403"/>
    </row>
    <row r="16" s="102" customFormat="1" customHeight="1" spans="1:256">
      <c r="A16" s="74" t="s">
        <v>1000</v>
      </c>
      <c r="B16" s="75"/>
      <c r="C16" s="75">
        <v>580</v>
      </c>
      <c r="D16" s="75">
        <v>996</v>
      </c>
      <c r="E16" s="399">
        <f t="shared" si="0"/>
        <v>171.72</v>
      </c>
      <c r="F16" s="74" t="s">
        <v>987</v>
      </c>
      <c r="G16" s="75"/>
      <c r="H16" s="75">
        <v>2</v>
      </c>
      <c r="I16" s="75">
        <v>7</v>
      </c>
      <c r="J16" s="399">
        <f t="shared" si="3"/>
        <v>350</v>
      </c>
      <c r="IS16" s="196"/>
      <c r="IT16" s="196"/>
      <c r="IU16" s="196"/>
      <c r="IV16" s="196"/>
    </row>
    <row r="17" s="102" customFormat="1" customHeight="1" spans="1:256">
      <c r="A17" s="74" t="s">
        <v>988</v>
      </c>
      <c r="B17" s="75"/>
      <c r="C17" s="75">
        <v>9</v>
      </c>
      <c r="D17" s="75">
        <v>14</v>
      </c>
      <c r="E17" s="399">
        <f t="shared" si="0"/>
        <v>155.56</v>
      </c>
      <c r="F17" s="74" t="s">
        <v>1001</v>
      </c>
      <c r="G17" s="75"/>
      <c r="H17" s="75"/>
      <c r="I17" s="401">
        <v>3</v>
      </c>
      <c r="J17" s="399"/>
      <c r="IS17" s="196"/>
      <c r="IT17" s="196"/>
      <c r="IU17" s="196"/>
      <c r="IV17" s="196"/>
    </row>
    <row r="18" s="102" customFormat="1" customHeight="1" spans="1:256">
      <c r="A18" s="74" t="s">
        <v>990</v>
      </c>
      <c r="B18" s="75"/>
      <c r="C18" s="75">
        <v>29</v>
      </c>
      <c r="D18" s="75">
        <v>17</v>
      </c>
      <c r="E18" s="399">
        <f t="shared" si="0"/>
        <v>58.62</v>
      </c>
      <c r="F18" s="74"/>
      <c r="G18" s="75"/>
      <c r="H18" s="75"/>
      <c r="I18" s="402"/>
      <c r="J18" s="399"/>
      <c r="IS18" s="196"/>
      <c r="IT18" s="196"/>
      <c r="IU18" s="196"/>
      <c r="IV18" s="196"/>
    </row>
    <row r="19" s="102" customFormat="1" customHeight="1" spans="1:256">
      <c r="A19" s="79" t="s">
        <v>1002</v>
      </c>
      <c r="B19" s="69">
        <v>26589</v>
      </c>
      <c r="C19" s="69">
        <v>27054</v>
      </c>
      <c r="D19" s="69">
        <v>27054</v>
      </c>
      <c r="E19" s="398">
        <f t="shared" si="0"/>
        <v>100</v>
      </c>
      <c r="F19" s="79" t="s">
        <v>992</v>
      </c>
      <c r="G19" s="400">
        <f>B12-G12</f>
        <v>29354</v>
      </c>
      <c r="H19" s="400">
        <f>C12-H12</f>
        <v>30034</v>
      </c>
      <c r="I19" s="400">
        <f>D12-I12</f>
        <v>26779</v>
      </c>
      <c r="J19" s="398">
        <f>I19/H19*100</f>
        <v>89.16</v>
      </c>
      <c r="IS19" s="196"/>
      <c r="IT19" s="196"/>
      <c r="IU19" s="196"/>
      <c r="IV19" s="196"/>
    </row>
    <row r="20" s="102" customFormat="1" customHeight="1" spans="1:256">
      <c r="A20" s="82" t="s">
        <v>1003</v>
      </c>
      <c r="B20" s="69">
        <f>SUM(B5+B12)</f>
        <v>64213</v>
      </c>
      <c r="C20" s="69">
        <f>SUM(C5+C12)</f>
        <v>68693</v>
      </c>
      <c r="D20" s="69">
        <f>SUM(D5+D12)</f>
        <v>65507</v>
      </c>
      <c r="E20" s="398">
        <f t="shared" si="0"/>
        <v>95.36</v>
      </c>
      <c r="F20" s="82" t="s">
        <v>1003</v>
      </c>
      <c r="G20" s="69">
        <f t="shared" ref="G20:I20" si="5">SUM(G5+G12+G11+G19)</f>
        <v>64213</v>
      </c>
      <c r="H20" s="69">
        <f t="shared" si="5"/>
        <v>68693</v>
      </c>
      <c r="I20" s="69">
        <f t="shared" si="5"/>
        <v>65507</v>
      </c>
      <c r="J20" s="398">
        <f>I20/H20*100</f>
        <v>95.36</v>
      </c>
      <c r="IS20" s="196"/>
      <c r="IT20" s="196"/>
      <c r="IU20" s="196"/>
      <c r="IV20" s="196"/>
    </row>
  </sheetData>
  <mergeCells count="3">
    <mergeCell ref="A1:J1"/>
    <mergeCell ref="A3:E3"/>
    <mergeCell ref="F3:J3"/>
  </mergeCells>
  <pageMargins left="0.708661417322835" right="0.708661417322835" top="0.748031496062992" bottom="0.748031496062992" header="0.31496062992126" footer="0.31496062992126"/>
  <pageSetup paperSize="9" scale="83"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showZeros="0" zoomScaleSheetLayoutView="60" workbookViewId="0">
      <selection activeCell="A1" sqref="$A1:$XFD65536"/>
    </sheetView>
  </sheetViews>
  <sheetFormatPr defaultColWidth="9" defaultRowHeight="15"/>
  <cols>
    <col min="1" max="1" width="23.875" style="91" customWidth="1"/>
    <col min="2" max="7" width="9" style="91"/>
    <col min="8" max="8" width="29.375" style="91" customWidth="1"/>
    <col min="9" max="16384" width="9" style="91"/>
  </cols>
  <sheetData>
    <row r="1" s="91" customFormat="1" ht="21" spans="1:14">
      <c r="A1" s="599" t="s">
        <v>1004</v>
      </c>
      <c r="B1" s="105"/>
      <c r="C1" s="105"/>
      <c r="D1" s="105"/>
      <c r="E1" s="105"/>
      <c r="F1" s="105"/>
      <c r="G1" s="105"/>
      <c r="H1" s="105"/>
      <c r="I1" s="105"/>
      <c r="J1" s="105"/>
      <c r="K1" s="105"/>
      <c r="L1" s="105"/>
      <c r="M1" s="105"/>
      <c r="N1" s="105"/>
    </row>
    <row r="2" s="91" customFormat="1" spans="1:14">
      <c r="A2" s="326"/>
      <c r="B2" s="326"/>
      <c r="C2" s="326"/>
      <c r="D2" s="326"/>
      <c r="E2" s="326"/>
      <c r="F2" s="326"/>
      <c r="G2" s="359"/>
      <c r="H2" s="359"/>
      <c r="I2" s="359"/>
      <c r="J2" s="359"/>
      <c r="K2" s="359"/>
      <c r="L2" s="359"/>
      <c r="M2" s="359"/>
      <c r="N2" s="391" t="s">
        <v>1005</v>
      </c>
    </row>
    <row r="3" s="91" customFormat="1" ht="25.5" customHeight="1" spans="1:14">
      <c r="A3" s="385" t="s">
        <v>1006</v>
      </c>
      <c r="B3" s="386"/>
      <c r="C3" s="386"/>
      <c r="D3" s="386"/>
      <c r="E3" s="386"/>
      <c r="F3" s="386"/>
      <c r="G3" s="152"/>
      <c r="H3" s="385" t="s">
        <v>1007</v>
      </c>
      <c r="I3" s="386"/>
      <c r="J3" s="386"/>
      <c r="K3" s="386"/>
      <c r="L3" s="386"/>
      <c r="M3" s="386"/>
      <c r="N3" s="152"/>
    </row>
    <row r="4" s="91" customFormat="1" ht="27.75" customHeight="1" spans="1:14">
      <c r="A4" s="108" t="s">
        <v>1008</v>
      </c>
      <c r="B4" s="620" t="s">
        <v>1009</v>
      </c>
      <c r="C4" s="386"/>
      <c r="D4" s="152"/>
      <c r="E4" s="621" t="s">
        <v>1010</v>
      </c>
      <c r="F4" s="388"/>
      <c r="G4" s="110"/>
      <c r="H4" s="108" t="s">
        <v>1008</v>
      </c>
      <c r="I4" s="621" t="s">
        <v>1009</v>
      </c>
      <c r="J4" s="388"/>
      <c r="K4" s="110"/>
      <c r="L4" s="621" t="s">
        <v>1010</v>
      </c>
      <c r="M4" s="388"/>
      <c r="N4" s="110"/>
    </row>
    <row r="5" s="91" customFormat="1" ht="30" customHeight="1" spans="1:14">
      <c r="A5" s="111"/>
      <c r="B5" s="39" t="s">
        <v>959</v>
      </c>
      <c r="C5" s="39" t="s">
        <v>1011</v>
      </c>
      <c r="D5" s="600" t="s">
        <v>1012</v>
      </c>
      <c r="E5" s="39" t="s">
        <v>959</v>
      </c>
      <c r="F5" s="39" t="s">
        <v>1011</v>
      </c>
      <c r="G5" s="600" t="s">
        <v>1012</v>
      </c>
      <c r="H5" s="111"/>
      <c r="I5" s="39" t="s">
        <v>959</v>
      </c>
      <c r="J5" s="39" t="s">
        <v>1011</v>
      </c>
      <c r="K5" s="600" t="s">
        <v>1012</v>
      </c>
      <c r="L5" s="39" t="s">
        <v>959</v>
      </c>
      <c r="M5" s="39" t="s">
        <v>1011</v>
      </c>
      <c r="N5" s="600" t="s">
        <v>1012</v>
      </c>
    </row>
    <row r="6" s="91" customFormat="1" ht="34.5" customHeight="1" spans="1:14">
      <c r="A6" s="36" t="s">
        <v>1013</v>
      </c>
      <c r="B6" s="36">
        <f t="shared" ref="B6:B16" si="0">SUM(C6:D6)</f>
        <v>0</v>
      </c>
      <c r="C6" s="36"/>
      <c r="D6" s="36"/>
      <c r="E6" s="36">
        <f t="shared" ref="E6:E16" si="1">SUM(F6:G6)</f>
        <v>0</v>
      </c>
      <c r="F6" s="36"/>
      <c r="G6" s="36"/>
      <c r="H6" s="16" t="s">
        <v>1014</v>
      </c>
      <c r="I6" s="36">
        <f t="shared" ref="I6:I10" si="2">J6+K6</f>
        <v>6</v>
      </c>
      <c r="J6" s="36"/>
      <c r="K6" s="36">
        <v>6</v>
      </c>
      <c r="L6" s="33">
        <f t="shared" ref="L6:L10" si="3">M6+N6</f>
        <v>1</v>
      </c>
      <c r="M6" s="33"/>
      <c r="N6" s="33">
        <v>1</v>
      </c>
    </row>
    <row r="7" s="91" customFormat="1" ht="34.5" customHeight="1" spans="1:14">
      <c r="A7" s="36" t="s">
        <v>1015</v>
      </c>
      <c r="B7" s="36">
        <f t="shared" si="0"/>
        <v>0</v>
      </c>
      <c r="C7" s="36"/>
      <c r="D7" s="36"/>
      <c r="E7" s="36">
        <f t="shared" si="1"/>
        <v>0</v>
      </c>
      <c r="F7" s="36"/>
      <c r="G7" s="36"/>
      <c r="H7" s="36" t="s">
        <v>1016</v>
      </c>
      <c r="I7" s="36">
        <f t="shared" si="2"/>
        <v>0</v>
      </c>
      <c r="J7" s="36"/>
      <c r="K7" s="36"/>
      <c r="L7" s="36">
        <f t="shared" si="3"/>
        <v>0</v>
      </c>
      <c r="M7" s="36"/>
      <c r="N7" s="36"/>
    </row>
    <row r="8" s="91" customFormat="1" ht="34.5" customHeight="1" spans="1:14">
      <c r="A8" s="36" t="s">
        <v>1017</v>
      </c>
      <c r="B8" s="36">
        <f t="shared" si="0"/>
        <v>0</v>
      </c>
      <c r="C8" s="36"/>
      <c r="D8" s="36"/>
      <c r="E8" s="36">
        <f t="shared" si="1"/>
        <v>0</v>
      </c>
      <c r="F8" s="36"/>
      <c r="G8" s="36"/>
      <c r="H8" s="36" t="s">
        <v>1018</v>
      </c>
      <c r="I8" s="36">
        <f t="shared" si="2"/>
        <v>0</v>
      </c>
      <c r="J8" s="36"/>
      <c r="K8" s="36"/>
      <c r="L8" s="36">
        <f t="shared" si="3"/>
        <v>0</v>
      </c>
      <c r="M8" s="36"/>
      <c r="N8" s="36"/>
    </row>
    <row r="9" s="91" customFormat="1" ht="34.5" customHeight="1" spans="1:14">
      <c r="A9" s="36" t="s">
        <v>1019</v>
      </c>
      <c r="B9" s="36">
        <f t="shared" si="0"/>
        <v>0</v>
      </c>
      <c r="C9" s="36"/>
      <c r="D9" s="36"/>
      <c r="E9" s="36">
        <f t="shared" si="1"/>
        <v>0</v>
      </c>
      <c r="F9" s="36"/>
      <c r="G9" s="36"/>
      <c r="H9" s="36" t="s">
        <v>1020</v>
      </c>
      <c r="I9" s="36">
        <f t="shared" si="2"/>
        <v>0</v>
      </c>
      <c r="J9" s="36"/>
      <c r="K9" s="36"/>
      <c r="L9" s="36">
        <f t="shared" si="3"/>
        <v>0</v>
      </c>
      <c r="M9" s="36"/>
      <c r="N9" s="36"/>
    </row>
    <row r="10" s="91" customFormat="1" ht="34.5" customHeight="1" spans="1:14">
      <c r="A10" s="42" t="s">
        <v>1021</v>
      </c>
      <c r="B10" s="36">
        <f t="shared" si="0"/>
        <v>0</v>
      </c>
      <c r="C10" s="33"/>
      <c r="D10" s="36"/>
      <c r="E10" s="36">
        <f t="shared" si="1"/>
        <v>0</v>
      </c>
      <c r="F10" s="33"/>
      <c r="G10" s="36"/>
      <c r="H10" s="36" t="s">
        <v>1022</v>
      </c>
      <c r="I10" s="36">
        <f t="shared" si="2"/>
        <v>0</v>
      </c>
      <c r="J10" s="36"/>
      <c r="K10" s="36"/>
      <c r="L10" s="36">
        <f t="shared" si="3"/>
        <v>0</v>
      </c>
      <c r="M10" s="36"/>
      <c r="N10" s="36"/>
    </row>
    <row r="11" s="91" customFormat="1" ht="34.5" customHeight="1" spans="1:14">
      <c r="A11" s="33"/>
      <c r="B11" s="36">
        <f t="shared" si="0"/>
        <v>0</v>
      </c>
      <c r="C11" s="389"/>
      <c r="D11" s="389"/>
      <c r="E11" s="36">
        <f t="shared" si="1"/>
        <v>0</v>
      </c>
      <c r="F11" s="389"/>
      <c r="G11" s="389"/>
      <c r="H11" s="36"/>
      <c r="I11" s="36"/>
      <c r="J11" s="36"/>
      <c r="K11" s="36"/>
      <c r="L11" s="36"/>
      <c r="M11" s="36"/>
      <c r="N11" s="36"/>
    </row>
    <row r="12" s="91" customFormat="1" ht="34.5" customHeight="1" spans="1:14">
      <c r="A12" s="39" t="s">
        <v>1023</v>
      </c>
      <c r="B12" s="36">
        <f t="shared" si="0"/>
        <v>0</v>
      </c>
      <c r="C12" s="390">
        <f t="shared" ref="C12:G12" si="4">SUM(C6:C10)</f>
        <v>0</v>
      </c>
      <c r="D12" s="390">
        <f t="shared" si="4"/>
        <v>0</v>
      </c>
      <c r="E12" s="36">
        <f t="shared" si="1"/>
        <v>0</v>
      </c>
      <c r="F12" s="390">
        <f t="shared" si="4"/>
        <v>0</v>
      </c>
      <c r="G12" s="390">
        <f t="shared" si="4"/>
        <v>0</v>
      </c>
      <c r="H12" s="39" t="s">
        <v>1024</v>
      </c>
      <c r="I12" s="36">
        <f t="shared" ref="I12:I16" si="5">J12+K12</f>
        <v>6</v>
      </c>
      <c r="J12" s="33">
        <f t="shared" ref="J12:N12" si="6">SUM(J6:J10)</f>
        <v>0</v>
      </c>
      <c r="K12" s="33">
        <f t="shared" si="6"/>
        <v>6</v>
      </c>
      <c r="L12" s="33">
        <f t="shared" ref="L12:L16" si="7">M12+N12</f>
        <v>1</v>
      </c>
      <c r="M12" s="33">
        <f t="shared" si="6"/>
        <v>0</v>
      </c>
      <c r="N12" s="33">
        <f t="shared" si="6"/>
        <v>1</v>
      </c>
    </row>
    <row r="13" s="91" customFormat="1" ht="34.5" customHeight="1" spans="1:14">
      <c r="A13" s="42" t="s">
        <v>1025</v>
      </c>
      <c r="B13" s="36">
        <f t="shared" si="0"/>
        <v>7</v>
      </c>
      <c r="C13" s="33"/>
      <c r="D13" s="33">
        <v>7</v>
      </c>
      <c r="E13" s="36">
        <f t="shared" si="1"/>
        <v>6</v>
      </c>
      <c r="F13" s="33"/>
      <c r="G13" s="33">
        <v>6</v>
      </c>
      <c r="H13" s="42" t="s">
        <v>1026</v>
      </c>
      <c r="I13" s="33">
        <f>J13</f>
        <v>0</v>
      </c>
      <c r="J13" s="33"/>
      <c r="K13" s="33" t="s">
        <v>1027</v>
      </c>
      <c r="L13" s="33">
        <f>M13</f>
        <v>0</v>
      </c>
      <c r="M13" s="33"/>
      <c r="N13" s="33" t="s">
        <v>1027</v>
      </c>
    </row>
    <row r="14" s="91" customFormat="1" ht="34.5" customHeight="1" spans="1:14">
      <c r="A14" s="42" t="s">
        <v>1028</v>
      </c>
      <c r="B14" s="36">
        <f t="shared" si="0"/>
        <v>19</v>
      </c>
      <c r="C14" s="33"/>
      <c r="D14" s="33">
        <v>19</v>
      </c>
      <c r="E14" s="36">
        <f t="shared" si="1"/>
        <v>20</v>
      </c>
      <c r="F14" s="33"/>
      <c r="G14" s="33">
        <v>20</v>
      </c>
      <c r="H14" s="36" t="s">
        <v>1029</v>
      </c>
      <c r="I14" s="33">
        <f t="shared" si="5"/>
        <v>0</v>
      </c>
      <c r="J14" s="36"/>
      <c r="K14" s="36"/>
      <c r="L14" s="33">
        <f t="shared" si="7"/>
        <v>0</v>
      </c>
      <c r="M14" s="36"/>
      <c r="N14" s="36"/>
    </row>
    <row r="15" s="91" customFormat="1" ht="34.5" customHeight="1" spans="1:14">
      <c r="A15" s="390"/>
      <c r="B15" s="36">
        <f t="shared" si="0"/>
        <v>0</v>
      </c>
      <c r="C15" s="36"/>
      <c r="D15" s="36"/>
      <c r="E15" s="36">
        <f t="shared" si="1"/>
        <v>0</v>
      </c>
      <c r="F15" s="36"/>
      <c r="G15" s="36"/>
      <c r="H15" s="36" t="s">
        <v>694</v>
      </c>
      <c r="I15" s="33">
        <f t="shared" si="5"/>
        <v>20</v>
      </c>
      <c r="J15" s="33"/>
      <c r="K15" s="33">
        <v>20</v>
      </c>
      <c r="L15" s="33">
        <f t="shared" si="7"/>
        <v>25</v>
      </c>
      <c r="M15" s="33"/>
      <c r="N15" s="33">
        <v>25</v>
      </c>
    </row>
    <row r="16" s="91" customFormat="1" ht="34.5" customHeight="1" spans="1:14">
      <c r="A16" s="39" t="s">
        <v>1030</v>
      </c>
      <c r="B16" s="36">
        <f t="shared" si="0"/>
        <v>26</v>
      </c>
      <c r="C16" s="33">
        <f t="shared" ref="C16:G16" si="8">C12+C13+C14</f>
        <v>0</v>
      </c>
      <c r="D16" s="33">
        <f t="shared" si="8"/>
        <v>26</v>
      </c>
      <c r="E16" s="36">
        <f t="shared" si="1"/>
        <v>26</v>
      </c>
      <c r="F16" s="33">
        <f t="shared" si="8"/>
        <v>0</v>
      </c>
      <c r="G16" s="33">
        <f t="shared" si="8"/>
        <v>26</v>
      </c>
      <c r="H16" s="39" t="s">
        <v>1031</v>
      </c>
      <c r="I16" s="33">
        <f t="shared" si="5"/>
        <v>26</v>
      </c>
      <c r="J16" s="33">
        <f>J12+J13+J14+J15</f>
        <v>0</v>
      </c>
      <c r="K16" s="33">
        <f>K12+K14+K15</f>
        <v>26</v>
      </c>
      <c r="L16" s="33">
        <f t="shared" si="7"/>
        <v>26</v>
      </c>
      <c r="M16" s="33">
        <f>M12+M13+M14+M15</f>
        <v>0</v>
      </c>
      <c r="N16" s="33">
        <f>N12+N14+N15</f>
        <v>26</v>
      </c>
    </row>
  </sheetData>
  <mergeCells count="9">
    <mergeCell ref="A1:N1"/>
    <mergeCell ref="A3:G3"/>
    <mergeCell ref="H3:N3"/>
    <mergeCell ref="B4:D4"/>
    <mergeCell ref="E4:G4"/>
    <mergeCell ref="I4:K4"/>
    <mergeCell ref="L4:N4"/>
    <mergeCell ref="A4:A5"/>
    <mergeCell ref="H4:H5"/>
  </mergeCells>
  <pageMargins left="0.708661417322835" right="0.708661417322835" top="0.748031496062992" bottom="0.748031496062992" header="0.31496062992126" footer="0.31496062992126"/>
  <pageSetup paperSize="9" scale="76" orientation="landscape" blackAndWhite="1"/>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37</vt:i4>
      </vt:variant>
    </vt:vector>
  </HeadingPairs>
  <TitlesOfParts>
    <vt:vector size="37" baseType="lpstr">
      <vt:lpstr>目录</vt:lpstr>
      <vt:lpstr>表一、2024年公共财政预算收入执行情况表</vt:lpstr>
      <vt:lpstr>表二、2024年预算平衡情况表</vt:lpstr>
      <vt:lpstr>表三、2024年公共财政支出预算执行情况表</vt:lpstr>
      <vt:lpstr>表四、2024年公共财政支出变动表</vt:lpstr>
      <vt:lpstr>表五、2024年政府性基金收支执行明细表 </vt:lpstr>
      <vt:lpstr>表六、2024年政府性基金支出来源情况表 </vt:lpstr>
      <vt:lpstr>表七、2024年社保基金执行情况</vt:lpstr>
      <vt:lpstr>表八、2024年国有资本经营执行情况表</vt:lpstr>
      <vt:lpstr>表九、2024年三公经费执行情况表</vt:lpstr>
      <vt:lpstr>表十、2024年其他社保基金执行情况</vt:lpstr>
      <vt:lpstr>表十一、2025年一般公共预算收入表</vt:lpstr>
      <vt:lpstr>表十二、2025年一般公共预算支出表</vt:lpstr>
      <vt:lpstr>表十三、2025年一般公共预算本级支出表</vt:lpstr>
      <vt:lpstr>表十四、2025年一般公共预算基本支出经济分类预算表</vt:lpstr>
      <vt:lpstr>表十五、2025年一般公共预算本级基本支出表</vt:lpstr>
      <vt:lpstr>表十六、2025年一般公共预算税收返还和转移支付表</vt:lpstr>
      <vt:lpstr>表十七、2025年一般公共预算平衡表</vt:lpstr>
      <vt:lpstr>表十八、2025年一般公共预算平衡表（县级财力）</vt:lpstr>
      <vt:lpstr>表十九、2025年一般公共预算支出资金来源情况表</vt:lpstr>
      <vt:lpstr>表二十、2025年政府一般债务限额和余额情况表</vt:lpstr>
      <vt:lpstr>表二十一、2025年政府性基金预算收入表 </vt:lpstr>
      <vt:lpstr>表二十二、2025年政府性基金预算支出表</vt:lpstr>
      <vt:lpstr>表二十三、2025年政府性基金预算收支表</vt:lpstr>
      <vt:lpstr>表二十四、2025年本级政府性基金支出表</vt:lpstr>
      <vt:lpstr>表二十五、2025年政府性基金预算收支明细表</vt:lpstr>
      <vt:lpstr>表二十六、2025年政府性基金预算转移支付表</vt:lpstr>
      <vt:lpstr>表二十七、2025年政府性基金预算支出资金来源情况表</vt:lpstr>
      <vt:lpstr>表二十八、2025年政府专项债务限额和余额情况表</vt:lpstr>
      <vt:lpstr>表二十九、2025年社会保险金预算</vt:lpstr>
      <vt:lpstr>表三十、2025年社会保险金预算收入表</vt:lpstr>
      <vt:lpstr>表三十一、2025年社会保险金预算支出表</vt:lpstr>
      <vt:lpstr>表三十二、2025年国有资本经营预算收支总表</vt:lpstr>
      <vt:lpstr>表三十三、2025年国有资本经营预算收入表 </vt:lpstr>
      <vt:lpstr>表三十四、2025年国有资本经营预算支出表</vt:lpstr>
      <vt:lpstr>表三十五、2025年本级国有资本经营预算支出表</vt:lpstr>
      <vt:lpstr>表三十六、2025年三公经费预算表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dc:creator>
  <cp:lastModifiedBy>kyoya</cp:lastModifiedBy>
  <dcterms:created xsi:type="dcterms:W3CDTF">2014-12-25T09:08:00Z</dcterms:created>
  <cp:lastPrinted>2023-01-13T03:55:00Z</cp:lastPrinted>
  <dcterms:modified xsi:type="dcterms:W3CDTF">2025-03-17T09:57:44Z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8D92DC7CAEB54FCC98F69D4294BC407D_13</vt:lpwstr>
  </property>
  <property fmtid="{D5CDD505-2E9C-101B-9397-08002B2CF9AE}" pid="3" name="KSOProductBuildVer">
    <vt:lpwstr>2052-12.1.0.20305</vt:lpwstr>
  </property>
</Properties>
</file>