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表一、2023年公共财政预算收入调整表" sheetId="1" r:id="rId1"/>
    <sheet name="表二、2023年一般公共财政预算收支平衡表" sheetId="2" r:id="rId2"/>
    <sheet name="表三、2023年公共财政支出预算调整表" sheetId="3" r:id="rId3"/>
    <sheet name="表四、2023年公共财政支出变动表" sheetId="4" r:id="rId4"/>
    <sheet name="表五、2023年政府性基金收支调整表" sheetId="5" r:id="rId5"/>
    <sheet name="表六、2023年政府性基金支出变动表 " sheetId="6" r:id="rId6"/>
    <sheet name="表七、2023年社会保险基金收支调整表" sheetId="7" r:id="rId7"/>
    <sheet name="表八、2023年国有资金本经营收支调整表" sheetId="8" r:id="rId8"/>
  </sheets>
  <definedNames>
    <definedName name="_xlnm.Print_Area" localSheetId="1">'表二、2023年一般公共财政预算收支平衡表'!$A$1:$J$81</definedName>
    <definedName name="_xlnm.Print_Area" localSheetId="2">'表三、2023年公共财政支出预算调整表'!$A$1:$F$216</definedName>
    <definedName name="_xlnm.Print_Area" localSheetId="3">'表四、2023年公共财政支出变动表'!$A$1:$P$218</definedName>
    <definedName name="_xlnm.Print_Area" localSheetId="4">'表五、2023年政府性基金收支调整表'!$A$1:$L$210</definedName>
    <definedName name="_xlnm.Print_Area" localSheetId="0">'表一、2023年公共财政预算收入调整表'!$A$1:$F$27</definedName>
    <definedName name="_xlnm.Print_Titles" localSheetId="1">'表二、2023年一般公共财政预算收支平衡表'!$1:$4</definedName>
    <definedName name="_xlnm.Print_Titles" localSheetId="5">'表六、2023年政府性基金支出变动表 '!$1:$4</definedName>
    <definedName name="_xlnm.Print_Titles" localSheetId="2">'表三、2023年公共财政支出预算调整表'!$1:$3</definedName>
    <definedName name="_xlnm.Print_Titles" localSheetId="3">'表四、2023年公共财政支出变动表'!$1:$5</definedName>
    <definedName name="_xlnm.Print_Titles" localSheetId="4">'表五、2023年政府性基金收支调整表'!$1:$4</definedName>
    <definedName name="_xlnm.Print_Titles" localSheetId="0">'表一、2023年公共财政预算收入调整表'!$1:$3</definedName>
  </definedNames>
  <calcPr fullCalcOnLoad="1"/>
</workbook>
</file>

<file path=xl/sharedStrings.xml><?xml version="1.0" encoding="utf-8"?>
<sst xmlns="http://schemas.openxmlformats.org/spreadsheetml/2006/main" count="1272" uniqueCount="928">
  <si>
    <t>表一、2023年一般公共财政预算收入调整表</t>
  </si>
  <si>
    <t>单位：万元</t>
  </si>
  <si>
    <t>项目</t>
  </si>
  <si>
    <t>上年决算数</t>
  </si>
  <si>
    <t>2023年年初预算数</t>
  </si>
  <si>
    <t>增减金额</t>
  </si>
  <si>
    <t>预算调整数</t>
  </si>
  <si>
    <t>同比增长%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</si>
  <si>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</si>
  <si>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</si>
  <si>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</si>
  <si>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</si>
  <si>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</si>
  <si>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</si>
  <si>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</si>
  <si>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</si>
  <si>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</si>
  <si>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</si>
  <si>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</si>
  <si>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</si>
  <si>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</si>
  <si>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</si>
  <si>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</si>
  <si>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</si>
  <si>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</si>
  <si>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</si>
  <si>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</si>
  <si>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</si>
  <si>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政府住房基金收入</t>
  </si>
  <si>
    <t xml:space="preserve">    其他收入</t>
  </si>
  <si>
    <t>收入合计</t>
  </si>
  <si>
    <t>表二、2023年一般公共财政预算收支平衡表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</si>
  <si>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</si>
  <si>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</si>
  <si>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</si>
  <si>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</si>
  <si>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</si>
  <si>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</si>
  <si>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</si>
  <si>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</si>
  <si>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</si>
  <si>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</si>
  <si>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</si>
  <si>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</si>
  <si>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出口退税专项上解支出</t>
  </si>
  <si>
    <t xml:space="preserve">      成品油税费改革税收返还收入</t>
  </si>
  <si>
    <t xml:space="preserve">    成品油价格和税费改革专项上解支出</t>
  </si>
  <si>
    <t xml:space="preserve">      增值税税收返还收入</t>
  </si>
  <si>
    <t xml:space="preserve">    专项上解支出</t>
  </si>
  <si>
    <t xml:space="preserve">      增值税五五分享税收返还收入</t>
  </si>
  <si>
    <t xml:space="preserve">    上解市级支出（法院、检察院、生态局基数上解支出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</si>
  <si>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</si>
  <si>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</si>
  <si>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</si>
  <si>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</si>
  <si>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</si>
  <si>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</si>
  <si>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</si>
  <si>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县级基本财力保障机制奖补资金收入</t>
  </si>
  <si>
    <t xml:space="preserve">      所得税基数返还支出</t>
  </si>
  <si>
    <t xml:space="preserve">      结算补助收入</t>
  </si>
  <si>
    <t xml:space="preserve">      成品油价格和税费改革税收返还支出</t>
  </si>
  <si>
    <t>市级</t>
  </si>
  <si>
    <r>
      <t xml:space="preserve">      </t>
    </r>
    <r>
      <rPr>
        <sz val="9"/>
        <rFont val="宋体"/>
        <family val="0"/>
      </rPr>
      <t>城乡居民医疗保险等转移支付收入</t>
    </r>
  </si>
  <si>
    <t xml:space="preserve">      其他税收返还支出</t>
  </si>
  <si>
    <t xml:space="preserve">      农村综合改革转移支付收入</t>
  </si>
  <si>
    <t xml:space="preserve">    一般性转移支付</t>
  </si>
  <si>
    <t xml:space="preserve">      产粮（油）大县奖励资金收入</t>
  </si>
  <si>
    <t xml:space="preserve">      体制补助支出</t>
  </si>
  <si>
    <t xml:space="preserve">      重点生态功能区转移支付收入</t>
  </si>
  <si>
    <t xml:space="preserve">      均衡性转移支付支出</t>
  </si>
  <si>
    <t xml:space="preserve">      固定数额补助收入</t>
  </si>
  <si>
    <t xml:space="preserve">      革命老区及民族和边境地区转移支付支出</t>
  </si>
  <si>
    <t xml:space="preserve">      革命老区转移支付收入</t>
  </si>
  <si>
    <t xml:space="preserve">      县级基本财力保障机制奖补资金支出</t>
  </si>
  <si>
    <t xml:space="preserve">      民族地区转移支付收入</t>
  </si>
  <si>
    <t xml:space="preserve">      结算补助支出</t>
  </si>
  <si>
    <t>专项</t>
  </si>
  <si>
    <t xml:space="preserve">      巩固脱贫攻坚成果衔接乡村振兴转移支付收入</t>
  </si>
  <si>
    <t xml:space="preserve">      化解债务补助支出</t>
  </si>
  <si>
    <t>财力</t>
  </si>
  <si>
    <t xml:space="preserve">      一般公共服务共同财政事权转移支付收入</t>
  </si>
  <si>
    <t xml:space="preserve">      资源枯竭型城市转移支付补助支出</t>
  </si>
  <si>
    <t xml:space="preserve">      公共安全共同财政事权转移支付收入</t>
  </si>
  <si>
    <t xml:space="preserve">      企业事业单位划转补助支出</t>
  </si>
  <si>
    <t xml:space="preserve">      教育共同财政事权转移支付收入</t>
  </si>
  <si>
    <t xml:space="preserve">      成品油价格和税费改革转移支付补助支出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</si>
  <si>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科学技术共同财政事权转移支付收入</t>
    </r>
  </si>
  <si>
    <t xml:space="preserve">      基层公检法司转移支付支出</t>
  </si>
  <si>
    <t xml:space="preserve">      文化旅游体育与传媒共同财政事权转移支付收入</t>
  </si>
  <si>
    <t xml:space="preserve">      义务教育等转移支付支出</t>
  </si>
  <si>
    <t xml:space="preserve">      社会保障和就业共同财政事权转移支付收入</t>
  </si>
  <si>
    <t xml:space="preserve">      基本养老保险和低保等转移支付支出</t>
  </si>
  <si>
    <t xml:space="preserve">      卫生健康共同财政事权转移支付收入</t>
  </si>
  <si>
    <t xml:space="preserve">      新型农村合作医疗等转移支付支出</t>
  </si>
  <si>
    <t xml:space="preserve">      节能环保共同财政事权转移支付收入</t>
  </si>
  <si>
    <t xml:space="preserve">      农村综合改革转移支付支出</t>
  </si>
  <si>
    <t xml:space="preserve">      农林水共同财政事权转移支付收入</t>
  </si>
  <si>
    <t xml:space="preserve">      产粮（油）大县奖励资金支出</t>
  </si>
  <si>
    <t xml:space="preserve">      交通运输共同财政事权转移支付收入  </t>
  </si>
  <si>
    <t xml:space="preserve">      重点生态功能区转移支付支出</t>
  </si>
  <si>
    <t xml:space="preserve">      住房保障共同财政事权转移支付收入</t>
  </si>
  <si>
    <t xml:space="preserve">      固定数额补助支出</t>
  </si>
  <si>
    <t xml:space="preserve">      灾害防治及应急管理共同财政事权转移支付收入</t>
  </si>
  <si>
    <t xml:space="preserve">      其他一般性转移支付支出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</si>
  <si>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其他共同财政事权转移支付收入</t>
    </r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</si>
  <si>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</si>
  <si>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</si>
  <si>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</si>
  <si>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</si>
  <si>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</si>
  <si>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专项转移支付支出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</si>
  <si>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</si>
  <si>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</si>
  <si>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</si>
  <si>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</si>
  <si>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</si>
  <si>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</si>
  <si>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</si>
  <si>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文化体育与传媒</t>
  </si>
  <si>
    <t xml:space="preserve">      社会保障和就业</t>
  </si>
  <si>
    <t xml:space="preserve">      卫生健康支出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</si>
  <si>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</si>
  <si>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</si>
  <si>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</si>
  <si>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</si>
  <si>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</si>
  <si>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</si>
  <si>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</si>
  <si>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</si>
  <si>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自然资源气象等</t>
  </si>
  <si>
    <t xml:space="preserve">      国土海洋气象等</t>
  </si>
  <si>
    <t xml:space="preserve">      住房保障</t>
  </si>
  <si>
    <t xml:space="preserve">      粮油物资储备</t>
  </si>
  <si>
    <t xml:space="preserve">      灾害防治及应急管理支出</t>
  </si>
  <si>
    <t xml:space="preserve">      其他支出</t>
  </si>
  <si>
    <t xml:space="preserve">  资金调入</t>
  </si>
  <si>
    <t xml:space="preserve">  调出资金</t>
  </si>
  <si>
    <t xml:space="preserve">       从政府性基金预算调入</t>
  </si>
  <si>
    <t xml:space="preserve">       从其他资金调入</t>
  </si>
  <si>
    <t xml:space="preserve">  地方政府一般债务转贷收入</t>
  </si>
  <si>
    <t xml:space="preserve">  地方政府一般债务还本支出</t>
  </si>
  <si>
    <t xml:space="preserve">     再融资还本一般债券转贷收入</t>
  </si>
  <si>
    <t xml:space="preserve">    地方政府一般债券还本支出</t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</si>
  <si>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地方政府向国际组织借款转贷收入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</si>
  <si>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地方政府一般债券转贷收入</t>
    </r>
  </si>
  <si>
    <t xml:space="preserve">  下级上解收入</t>
  </si>
  <si>
    <t xml:space="preserve">    体制上解收入</t>
  </si>
  <si>
    <t xml:space="preserve">    出口退税专项上解收入</t>
  </si>
  <si>
    <t xml:space="preserve">  调入预算稳定调节基金</t>
  </si>
  <si>
    <t xml:space="preserve">  预算稳定调节基金</t>
  </si>
  <si>
    <t xml:space="preserve">  上年结余收入</t>
  </si>
  <si>
    <t xml:space="preserve">  年终结余</t>
  </si>
  <si>
    <t xml:space="preserve">    上年结转</t>
  </si>
  <si>
    <t xml:space="preserve">    结转</t>
  </si>
  <si>
    <t xml:space="preserve">    净结余</t>
  </si>
  <si>
    <t>收入总计</t>
  </si>
  <si>
    <t>支出总计</t>
  </si>
  <si>
    <t>表三、2023年公共财政预算支出调整表</t>
  </si>
  <si>
    <t>2023年预算数</t>
  </si>
  <si>
    <t>2023年调整预算数</t>
  </si>
  <si>
    <t>一、一般公共服务</t>
  </si>
  <si>
    <t xml:space="preserve">    人大事务</t>
  </si>
  <si>
    <t xml:space="preserve">    政协事务</t>
  </si>
  <si>
    <t xml:space="preserve">    政府办公厅（室）及相关机构事务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</si>
  <si>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</si>
  <si>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</si>
  <si>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</si>
  <si>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</si>
  <si>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</si>
  <si>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</si>
  <si>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</si>
  <si>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</si>
  <si>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</si>
  <si>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</si>
  <si>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</si>
  <si>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</si>
  <si>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</si>
  <si>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</si>
  <si>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</si>
  <si>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</si>
  <si>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</si>
  <si>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</si>
  <si>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</si>
  <si>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</si>
  <si>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</si>
  <si>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</si>
  <si>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</si>
  <si>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</si>
  <si>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</si>
  <si>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</si>
  <si>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</si>
  <si>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</si>
  <si>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</si>
  <si>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</si>
  <si>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</si>
  <si>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</si>
  <si>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</si>
  <si>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</si>
  <si>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</si>
  <si>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</si>
  <si>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</si>
  <si>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</si>
  <si>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</si>
  <si>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</si>
  <si>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</si>
  <si>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</si>
  <si>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</si>
  <si>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</si>
  <si>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</si>
  <si>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</si>
  <si>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</si>
  <si>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</si>
  <si>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</si>
  <si>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</si>
  <si>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</si>
  <si>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</si>
  <si>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</si>
  <si>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</si>
  <si>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</si>
  <si>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</si>
  <si>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</si>
  <si>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</si>
  <si>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</si>
  <si>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</si>
  <si>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</si>
  <si>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</si>
  <si>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</si>
  <si>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</si>
  <si>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</si>
  <si>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</si>
  <si>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</si>
  <si>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</si>
  <si>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</si>
  <si>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</si>
  <si>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</si>
  <si>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</si>
  <si>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</si>
  <si>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</si>
  <si>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</si>
  <si>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</si>
  <si>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</si>
  <si>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</si>
  <si>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</si>
  <si>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</si>
  <si>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</si>
  <si>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</si>
  <si>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</si>
  <si>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</si>
  <si>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</si>
  <si>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</si>
  <si>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</si>
  <si>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</si>
  <si>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</si>
  <si>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</si>
  <si>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</si>
  <si>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财政代缴社会保险费支出</t>
    </r>
  </si>
  <si>
    <t xml:space="preserve">    其他社会保障和就业支出</t>
  </si>
  <si>
    <t>九、卫生健康支出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</si>
  <si>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</si>
  <si>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</si>
  <si>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</si>
  <si>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</si>
  <si>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</si>
  <si>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</si>
  <si>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</si>
  <si>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</si>
  <si>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</si>
  <si>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</si>
  <si>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</si>
  <si>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</si>
  <si>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</si>
  <si>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</si>
  <si>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</si>
  <si>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</si>
  <si>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</si>
  <si>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</si>
  <si>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</si>
  <si>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</si>
  <si>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</si>
  <si>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</si>
  <si>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</si>
  <si>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</si>
  <si>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</si>
  <si>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</si>
  <si>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</si>
  <si>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</si>
  <si>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</si>
  <si>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</si>
  <si>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</si>
  <si>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</si>
  <si>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</si>
  <si>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</si>
  <si>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</si>
  <si>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</si>
  <si>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</si>
  <si>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</si>
  <si>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林业和草原</t>
  </si>
  <si>
    <t xml:space="preserve">      水利</t>
  </si>
  <si>
    <t xml:space="preserve">      南水北调</t>
  </si>
  <si>
    <t xml:space="preserve">      巩固脱贫攻坚成果衔接乡村振兴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</si>
  <si>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</si>
  <si>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</si>
  <si>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</si>
  <si>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</si>
  <si>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</si>
  <si>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</si>
  <si>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</si>
  <si>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</si>
  <si>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</si>
  <si>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</si>
  <si>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</si>
  <si>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</si>
  <si>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</si>
  <si>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</si>
  <si>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</si>
  <si>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</si>
  <si>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</si>
  <si>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</si>
  <si>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</si>
  <si>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</si>
  <si>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</si>
  <si>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</si>
  <si>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</si>
  <si>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</si>
  <si>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</si>
  <si>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</si>
  <si>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</si>
  <si>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</si>
  <si>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</si>
  <si>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</si>
  <si>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>十八、自然资源海洋气象等支出</t>
  </si>
  <si>
    <t xml:space="preserve">      自然资源事务</t>
  </si>
  <si>
    <t xml:space="preserve">      海洋管理事务</t>
  </si>
  <si>
    <t xml:space="preserve">      测绘事务</t>
  </si>
  <si>
    <t xml:space="preserve">      气象事务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</si>
  <si>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</si>
  <si>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</si>
  <si>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</si>
  <si>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</si>
  <si>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</si>
  <si>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</si>
  <si>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</si>
  <si>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</si>
  <si>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</si>
  <si>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</si>
  <si>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</si>
  <si>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</si>
  <si>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</si>
  <si>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</si>
  <si>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</si>
  <si>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</si>
  <si>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</si>
  <si>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</si>
  <si>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</si>
  <si>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</si>
  <si>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二十二、预备费</t>
  </si>
  <si>
    <t>二十三、债务付息支出</t>
  </si>
  <si>
    <t xml:space="preserve">      地方政府一般债务付息支出</t>
  </si>
  <si>
    <t>二十四、债务发行费用支出</t>
  </si>
  <si>
    <t xml:space="preserve">      地方政府一般债务发行费用支出</t>
  </si>
  <si>
    <t>二十五、其他支出</t>
  </si>
  <si>
    <t/>
  </si>
  <si>
    <t xml:space="preserve">        年初预留</t>
  </si>
  <si>
    <t xml:space="preserve">        其他支出</t>
  </si>
  <si>
    <t>支出合计</t>
  </si>
  <si>
    <t>表四、2023年公共财政支出预算变动情况表</t>
  </si>
  <si>
    <t>科目编码</t>
  </si>
  <si>
    <t>科目名称</t>
  </si>
  <si>
    <t>年初预算数</t>
  </si>
  <si>
    <t>变动项目</t>
  </si>
  <si>
    <t>调整预算数</t>
  </si>
  <si>
    <t>1-10月支出</t>
  </si>
  <si>
    <t>未支出使用数</t>
  </si>
  <si>
    <t>小计</t>
  </si>
  <si>
    <t>专项转移支付</t>
  </si>
  <si>
    <t xml:space="preserve">一般性转
移支付
</t>
  </si>
  <si>
    <t>市级专项
补助</t>
  </si>
  <si>
    <t>税收返还性收入补助</t>
  </si>
  <si>
    <t>动支预
备费</t>
  </si>
  <si>
    <t>科目调剂</t>
  </si>
  <si>
    <t>本年超收、短收安排</t>
  </si>
  <si>
    <t>债券转贷收入</t>
  </si>
  <si>
    <t>动用预算稳定调节基金</t>
  </si>
  <si>
    <t>调入资金</t>
  </si>
  <si>
    <t>上年结余</t>
  </si>
  <si>
    <t>类</t>
  </si>
  <si>
    <t>公共财政支出</t>
  </si>
  <si>
    <t>201</t>
  </si>
  <si>
    <t>20101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</si>
  <si>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</si>
  <si>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</si>
  <si>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</si>
  <si>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</si>
  <si>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</si>
  <si>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</si>
  <si>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</si>
  <si>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</si>
  <si>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</si>
  <si>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</si>
  <si>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20113</t>
  </si>
  <si>
    <t>20114</t>
  </si>
  <si>
    <t>20123</t>
  </si>
  <si>
    <t>20125</t>
  </si>
  <si>
    <t>20126</t>
  </si>
  <si>
    <t>20128</t>
  </si>
  <si>
    <t>20129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</si>
  <si>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</si>
  <si>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</si>
  <si>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</si>
  <si>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</si>
  <si>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</si>
  <si>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</si>
  <si>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</si>
  <si>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</si>
  <si>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20199</t>
  </si>
  <si>
    <t>202</t>
  </si>
  <si>
    <t>20205</t>
  </si>
  <si>
    <t>20299</t>
  </si>
  <si>
    <t>203</t>
  </si>
  <si>
    <t>20306</t>
  </si>
  <si>
    <t>20399</t>
  </si>
  <si>
    <t>204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</si>
  <si>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</si>
  <si>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</si>
  <si>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</si>
  <si>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</si>
  <si>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</si>
  <si>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</si>
  <si>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</si>
  <si>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</si>
  <si>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</si>
  <si>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</si>
  <si>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20499</t>
  </si>
  <si>
    <t>205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</si>
  <si>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</si>
  <si>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</si>
  <si>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</si>
  <si>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</si>
  <si>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</si>
  <si>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</si>
  <si>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</si>
  <si>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</si>
  <si>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</si>
  <si>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20599</t>
  </si>
  <si>
    <t>206</t>
  </si>
  <si>
    <t>20601</t>
  </si>
  <si>
    <t>20602</t>
  </si>
  <si>
    <t>20603</t>
  </si>
  <si>
    <t>20604</t>
  </si>
  <si>
    <t>20605</t>
  </si>
  <si>
    <t>20606</t>
  </si>
  <si>
    <t>20607</t>
  </si>
  <si>
    <t>20608</t>
  </si>
  <si>
    <t>20609</t>
  </si>
  <si>
    <t>20699</t>
  </si>
  <si>
    <t>207</t>
  </si>
  <si>
    <t>20701</t>
  </si>
  <si>
    <t>20702</t>
  </si>
  <si>
    <t>20703</t>
  </si>
  <si>
    <t>20706</t>
  </si>
  <si>
    <t>20708</t>
  </si>
  <si>
    <t>20799</t>
  </si>
  <si>
    <t>208</t>
  </si>
  <si>
    <t>20801</t>
  </si>
  <si>
    <t>20802</t>
  </si>
  <si>
    <t>20804</t>
  </si>
  <si>
    <t>20805</t>
  </si>
  <si>
    <t>20806</t>
  </si>
  <si>
    <t>20807</t>
  </si>
  <si>
    <t>20808</t>
  </si>
  <si>
    <t>20809</t>
  </si>
  <si>
    <t>20810</t>
  </si>
  <si>
    <t>20811</t>
  </si>
  <si>
    <t>20816</t>
  </si>
  <si>
    <t>20819</t>
  </si>
  <si>
    <t>20820</t>
  </si>
  <si>
    <t>20821</t>
  </si>
  <si>
    <t>20824</t>
  </si>
  <si>
    <t>20825</t>
  </si>
  <si>
    <t>20826</t>
  </si>
  <si>
    <t>20827</t>
  </si>
  <si>
    <t>20828</t>
  </si>
  <si>
    <t>20830</t>
  </si>
  <si>
    <t xml:space="preserve">    财政代缴社会保险费支出</t>
  </si>
  <si>
    <t>20899</t>
  </si>
  <si>
    <t>210</t>
  </si>
  <si>
    <t>21001</t>
  </si>
  <si>
    <t>21002</t>
  </si>
  <si>
    <t>21003</t>
  </si>
  <si>
    <t>21004</t>
  </si>
  <si>
    <t>21006</t>
  </si>
  <si>
    <t>21007</t>
  </si>
  <si>
    <t>21011</t>
  </si>
  <si>
    <t>21012</t>
  </si>
  <si>
    <t>21013</t>
  </si>
  <si>
    <t>21014</t>
  </si>
  <si>
    <t>21015</t>
  </si>
  <si>
    <t>21016</t>
  </si>
  <si>
    <t>21099</t>
  </si>
  <si>
    <t>211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</si>
  <si>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</si>
  <si>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</si>
  <si>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</si>
  <si>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</si>
  <si>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</si>
  <si>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</si>
  <si>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</si>
  <si>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</si>
  <si>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</si>
  <si>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</si>
  <si>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</si>
  <si>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</si>
  <si>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</si>
  <si>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</si>
  <si>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21199</t>
  </si>
  <si>
    <t>212</t>
  </si>
  <si>
    <t>21201</t>
  </si>
  <si>
    <t>21202</t>
  </si>
  <si>
    <t>21203</t>
  </si>
  <si>
    <t>21205</t>
  </si>
  <si>
    <t>21206</t>
  </si>
  <si>
    <t>21299</t>
  </si>
  <si>
    <t>213</t>
  </si>
  <si>
    <t>21301</t>
  </si>
  <si>
    <t>21302</t>
  </si>
  <si>
    <t>21303</t>
  </si>
  <si>
    <t>21304</t>
  </si>
  <si>
    <t>21305</t>
  </si>
  <si>
    <t xml:space="preserve">       巩固脱贫攻坚成果衔接乡村振兴</t>
  </si>
  <si>
    <t>21306</t>
  </si>
  <si>
    <t>21307</t>
  </si>
  <si>
    <t>21308</t>
  </si>
  <si>
    <t>21309</t>
  </si>
  <si>
    <t>21399</t>
  </si>
  <si>
    <t>214</t>
  </si>
  <si>
    <t>21401</t>
  </si>
  <si>
    <t>21402</t>
  </si>
  <si>
    <t>21403</t>
  </si>
  <si>
    <t>21404</t>
  </si>
  <si>
    <t>21405</t>
  </si>
  <si>
    <t>21406</t>
  </si>
  <si>
    <t>21499</t>
  </si>
  <si>
    <t>215</t>
  </si>
  <si>
    <t>21501</t>
  </si>
  <si>
    <t>21502</t>
  </si>
  <si>
    <t>21503</t>
  </si>
  <si>
    <t>21505</t>
  </si>
  <si>
    <t>21507</t>
  </si>
  <si>
    <t>21508</t>
  </si>
  <si>
    <t>21599</t>
  </si>
  <si>
    <t>216</t>
  </si>
  <si>
    <t>21602</t>
  </si>
  <si>
    <t>21606</t>
  </si>
  <si>
    <t>21699</t>
  </si>
  <si>
    <t>217</t>
  </si>
  <si>
    <t>21701</t>
  </si>
  <si>
    <t>21703</t>
  </si>
  <si>
    <t>21799</t>
  </si>
  <si>
    <t>219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</si>
  <si>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</si>
  <si>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</si>
  <si>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</si>
  <si>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</si>
  <si>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</si>
  <si>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</si>
  <si>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</si>
  <si>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</si>
  <si>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21999</t>
  </si>
  <si>
    <t>220</t>
  </si>
  <si>
    <t>22001</t>
  </si>
  <si>
    <t>22002</t>
  </si>
  <si>
    <t>22003</t>
  </si>
  <si>
    <t>22005</t>
  </si>
  <si>
    <t>22099</t>
  </si>
  <si>
    <t>221</t>
  </si>
  <si>
    <t>22101</t>
  </si>
  <si>
    <t>22102</t>
  </si>
  <si>
    <t>22103</t>
  </si>
  <si>
    <t>222</t>
  </si>
  <si>
    <t>22201</t>
  </si>
  <si>
    <t>22202</t>
  </si>
  <si>
    <t>22203</t>
  </si>
  <si>
    <t>22204</t>
  </si>
  <si>
    <t>22205</t>
  </si>
  <si>
    <t>224</t>
  </si>
  <si>
    <t>22401</t>
  </si>
  <si>
    <t>22402</t>
  </si>
  <si>
    <t>22403</t>
  </si>
  <si>
    <t>22404</t>
  </si>
  <si>
    <t>22405</t>
  </si>
  <si>
    <t>22406</t>
  </si>
  <si>
    <t>22407</t>
  </si>
  <si>
    <t>22499</t>
  </si>
  <si>
    <t>227</t>
  </si>
  <si>
    <t>232</t>
  </si>
  <si>
    <t>23203</t>
  </si>
  <si>
    <t>233</t>
  </si>
  <si>
    <t>23303</t>
  </si>
  <si>
    <t>地方政府一般债务发行费用支出</t>
  </si>
  <si>
    <t>229</t>
  </si>
  <si>
    <t>22902</t>
  </si>
  <si>
    <t>22999</t>
  </si>
  <si>
    <t>表五、2023年政府性基金预算收支调整明细情况表</t>
  </si>
  <si>
    <t>收入</t>
  </si>
  <si>
    <t>支出</t>
  </si>
  <si>
    <t>隐藏列</t>
  </si>
  <si>
    <r>
      <t>预算调整</t>
    </r>
    <r>
      <rPr>
        <b/>
        <sz val="9"/>
        <rFont val="宋体"/>
        <family val="0"/>
      </rPr>
      <t>数</t>
    </r>
  </si>
  <si>
    <t>收入变动</t>
  </si>
  <si>
    <t>上级变动</t>
  </si>
  <si>
    <t>结余变动</t>
  </si>
  <si>
    <t>一、农网还贷资金收入</t>
  </si>
  <si>
    <t>一、文化旅游体育与传媒支出</t>
  </si>
  <si>
    <t>二、海南省高等级公路车辆通行附加费收入</t>
  </si>
  <si>
    <t xml:space="preserve">    国家电影事业发展专项资金支出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</si>
  <si>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</si>
  <si>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</si>
  <si>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</si>
  <si>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</si>
  <si>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</si>
  <si>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</si>
  <si>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六、旅游发展基金收入</t>
  </si>
  <si>
    <t xml:space="preserve">      其他国家电影事业发展专项资金支出</t>
  </si>
  <si>
    <t>七、新菜地开发建设基金收入</t>
  </si>
  <si>
    <t xml:space="preserve">  旅游发展基金支出</t>
  </si>
  <si>
    <t>八、新增建设用地土地有偿使用费收入</t>
  </si>
  <si>
    <t xml:space="preserve">      宣传促销</t>
  </si>
  <si>
    <t>九、南水北调工程建设基金收入</t>
  </si>
  <si>
    <t xml:space="preserve">      行业规划</t>
  </si>
  <si>
    <t>十、政府住房基金收入</t>
  </si>
  <si>
    <t xml:space="preserve">      旅游事业补助</t>
  </si>
  <si>
    <t xml:space="preserve">     上缴管理费用</t>
  </si>
  <si>
    <t xml:space="preserve">      地方旅游开发项目补助</t>
  </si>
  <si>
    <t xml:space="preserve">     计提公共租赁住房资金</t>
  </si>
  <si>
    <t xml:space="preserve">      其他旅游发展基金支出</t>
  </si>
  <si>
    <t xml:space="preserve">     廉租住房租金收入</t>
  </si>
  <si>
    <t xml:space="preserve">     公共租赁住房租金收入</t>
  </si>
  <si>
    <t>二、社会保障和就业支出</t>
  </si>
  <si>
    <t xml:space="preserve">     配建商业设施租售收入</t>
  </si>
  <si>
    <t xml:space="preserve">    大中型水库移民后期扶持基金支出</t>
  </si>
  <si>
    <t xml:space="preserve">     其他政府住房基金收入</t>
  </si>
  <si>
    <t xml:space="preserve">      移民补助</t>
  </si>
  <si>
    <t>十一、城市公用事业附加收入</t>
  </si>
  <si>
    <t xml:space="preserve">      基础设施建设和经济发展</t>
  </si>
  <si>
    <t>十二、国有土地收益基金收入</t>
  </si>
  <si>
    <t xml:space="preserve">      其他大中型水库移民后期扶持基金支出</t>
  </si>
  <si>
    <t>十三、农业土地开发资金收入</t>
  </si>
  <si>
    <t xml:space="preserve">    小型水库移民扶助基金支出</t>
  </si>
  <si>
    <t>十四、国有土地使用权出让收入</t>
  </si>
  <si>
    <t xml:space="preserve">        土地出让价款收入</t>
  </si>
  <si>
    <t xml:space="preserve">        补缴的土地价款</t>
  </si>
  <si>
    <t xml:space="preserve">      其他小型水库移民扶助基金支出</t>
  </si>
  <si>
    <t xml:space="preserve">        划拨土地收入</t>
  </si>
  <si>
    <t>三、节能环保支出</t>
  </si>
  <si>
    <t xml:space="preserve">        缴纳新增建设用地土地有偿使用费</t>
  </si>
  <si>
    <t xml:space="preserve">    可再生能源电价附加收入安排的支出</t>
  </si>
  <si>
    <t xml:space="preserve">        其他土地出让收入</t>
  </si>
  <si>
    <t xml:space="preserve">      其他可再生能源电价附加收入安排的支出</t>
  </si>
  <si>
    <t>十五、大中型水库库区基金收入</t>
  </si>
  <si>
    <t xml:space="preserve">    废弃电器电子产品处理基金支出</t>
  </si>
  <si>
    <t>十六、彩票公益金收入</t>
  </si>
  <si>
    <t xml:space="preserve">      回收处理费用补贴</t>
  </si>
  <si>
    <t xml:space="preserve">        福利彩票公益金收入</t>
  </si>
  <si>
    <t xml:space="preserve">      信息系统建设</t>
  </si>
  <si>
    <t>　　    体育彩票公益金收入</t>
  </si>
  <si>
    <t xml:space="preserve">      基金征管经费</t>
  </si>
  <si>
    <t>十七、城市基础设施配套费收入</t>
  </si>
  <si>
    <t xml:space="preserve">      其他废弃电器电子产品处理基金支出</t>
  </si>
  <si>
    <t>十八、小型水库移民扶助基金收入</t>
  </si>
  <si>
    <t>四、城乡社区支出</t>
  </si>
  <si>
    <t>十九、国家重大水利工程建设基金收入</t>
  </si>
  <si>
    <t xml:space="preserve">    政府住房基金支出</t>
  </si>
  <si>
    <t xml:space="preserve">        南水北调工程建设资金</t>
  </si>
  <si>
    <t xml:space="preserve">      管理费用支出</t>
  </si>
  <si>
    <t xml:space="preserve">        三峡工程后续工作资金</t>
  </si>
  <si>
    <t xml:space="preserve">      廉租住房支出</t>
  </si>
  <si>
    <t xml:space="preserve">        省级重大水利工程建设资金</t>
  </si>
  <si>
    <t xml:space="preserve">      公共租赁住房支出</t>
  </si>
  <si>
    <t>二十、车辆通行费</t>
  </si>
  <si>
    <t xml:space="preserve">      公共租赁住房维护和管理支出</t>
  </si>
  <si>
    <t>二十一、无线电频率占用费</t>
  </si>
  <si>
    <t xml:space="preserve">      保障性住房租金补贴</t>
  </si>
  <si>
    <t>二十二、水土保持补偿费收入</t>
  </si>
  <si>
    <t xml:space="preserve">      其他政府住房基金支出</t>
  </si>
  <si>
    <t>二十三、污水处理费收入</t>
  </si>
  <si>
    <t xml:space="preserve">    国有土地使用权出让收入安排的支出</t>
  </si>
  <si>
    <t>二十四、其他政府性基金收入</t>
  </si>
  <si>
    <t xml:space="preserve">      征地和拆迁补偿支出</t>
  </si>
  <si>
    <t>二十五、专项债务对应项目专项收入</t>
  </si>
  <si>
    <t xml:space="preserve">      土地开发支出</t>
  </si>
  <si>
    <t>　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</si>
  <si>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</si>
  <si>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</si>
  <si>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</si>
  <si>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</si>
  <si>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</si>
  <si>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</si>
  <si>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农业生产发展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</si>
  <si>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</si>
  <si>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</si>
  <si>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</si>
  <si>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</si>
  <si>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</si>
  <si>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</si>
  <si>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</si>
  <si>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</si>
  <si>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</si>
  <si>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</si>
  <si>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</si>
  <si>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</si>
  <si>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</si>
  <si>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</si>
  <si>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</si>
  <si>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</si>
  <si>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</si>
  <si>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</si>
  <si>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</si>
  <si>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棚户区改造专项债券收入安排的支出</t>
  </si>
  <si>
    <t>　    其他棚户区改造专项债券收入安排的支出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</si>
  <si>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</si>
  <si>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</si>
  <si>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</si>
  <si>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</si>
  <si>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</si>
  <si>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</si>
  <si>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</si>
  <si>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</si>
  <si>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</si>
  <si>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</si>
  <si>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</si>
  <si>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</si>
  <si>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</si>
  <si>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</si>
  <si>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</si>
  <si>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</si>
  <si>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</si>
  <si>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</si>
  <si>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南水北调工程基金支出</t>
  </si>
  <si>
    <t xml:space="preserve">      南水北调工程建设</t>
  </si>
  <si>
    <t xml:space="preserve">      偿还南水北调工程贷款本息</t>
  </si>
  <si>
    <t xml:space="preserve">    国家重大水利工程建设基金支出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</si>
  <si>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</si>
  <si>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</si>
  <si>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</si>
  <si>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</si>
  <si>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</si>
  <si>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</si>
  <si>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</si>
  <si>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六、交通运输支出</t>
  </si>
  <si>
    <t xml:space="preserve">   铁路运输</t>
  </si>
  <si>
    <t xml:space="preserve">      铁路资产变现收入安排的支出</t>
  </si>
  <si>
    <t xml:space="preserve">    海南省高等级公路车辆通行附加费安排的支出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</si>
  <si>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</si>
  <si>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</si>
  <si>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</si>
  <si>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</si>
  <si>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</si>
  <si>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</si>
  <si>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</si>
  <si>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</si>
  <si>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</si>
  <si>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</si>
  <si>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</si>
  <si>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</si>
  <si>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</si>
  <si>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</si>
  <si>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</si>
  <si>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</si>
  <si>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</si>
  <si>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</si>
  <si>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</si>
  <si>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</si>
  <si>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</si>
  <si>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</si>
  <si>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</si>
  <si>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</si>
  <si>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</si>
  <si>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</si>
  <si>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</si>
  <si>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</si>
  <si>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</si>
  <si>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</si>
  <si>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</si>
  <si>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</si>
  <si>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</si>
  <si>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</si>
  <si>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</si>
  <si>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</si>
  <si>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</si>
  <si>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</si>
  <si>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</si>
  <si>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</si>
  <si>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工业和信息产业监管</t>
  </si>
  <si>
    <t xml:space="preserve">      无线电频率占用费安排的支出</t>
  </si>
  <si>
    <t xml:space="preserve">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</si>
  <si>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</si>
  <si>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</si>
  <si>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</si>
  <si>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</si>
  <si>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</si>
  <si>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</si>
  <si>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</si>
  <si>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</si>
  <si>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</si>
  <si>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</si>
  <si>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</si>
  <si>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</si>
  <si>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</si>
  <si>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</si>
  <si>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</si>
  <si>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电力改革预留资产变现收入安排的支出</t>
  </si>
  <si>
    <t>九、其他支出</t>
  </si>
  <si>
    <t xml:space="preserve">    其他政府性基金及对应专项债务收入安排支出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</si>
  <si>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</si>
  <si>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</si>
  <si>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</si>
  <si>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</si>
  <si>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</si>
  <si>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</si>
  <si>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</si>
  <si>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</si>
  <si>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</si>
  <si>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</si>
  <si>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</si>
  <si>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</si>
  <si>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</si>
  <si>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</si>
  <si>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</si>
  <si>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</si>
  <si>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</si>
  <si>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</si>
  <si>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</si>
  <si>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</si>
  <si>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</si>
  <si>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</si>
  <si>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十二、抗疫特别国债安排的支出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</si>
  <si>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</si>
  <si>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</si>
  <si>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</si>
  <si>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</si>
  <si>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</si>
  <si>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</si>
  <si>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</si>
  <si>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</si>
  <si>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地方政府债券收入</t>
  </si>
  <si>
    <t xml:space="preserve">    年终结余</t>
  </si>
  <si>
    <t>表六、三江县2023年政府性基金预算支出来源变动表</t>
  </si>
  <si>
    <t>合计</t>
  </si>
  <si>
    <t>当年预算收入安排</t>
  </si>
  <si>
    <t>预算收入变动额(+-)</t>
  </si>
  <si>
    <t>转移支付收入安排</t>
  </si>
  <si>
    <t>转移支付收入年中变动数+-</t>
  </si>
  <si>
    <t>上年结余结算后变动+-</t>
  </si>
  <si>
    <t>政府债务资金</t>
  </si>
  <si>
    <t>其他资金</t>
  </si>
  <si>
    <t>一、文化体育与传媒支出</t>
  </si>
  <si>
    <t xml:space="preserve">    国家电影事业发展专项资金及对应专项债务收入安排的支出</t>
  </si>
  <si>
    <t xml:space="preserve">    旅游发展基金支出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</si>
  <si>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</si>
  <si>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</si>
  <si>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</si>
  <si>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</si>
  <si>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</si>
  <si>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棚户区改造专项债务收入安排的支出</t>
  </si>
  <si>
    <t xml:space="preserve">    污水处理费收入及对应专项债务收入安排的支出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</si>
  <si>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</si>
  <si>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</si>
  <si>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</si>
  <si>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</si>
  <si>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</si>
  <si>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</si>
  <si>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散装水泥专项资金及对应专项债务收入安排的支出</t>
  </si>
  <si>
    <t>八、商业服务业等支出</t>
  </si>
  <si>
    <t xml:space="preserve">    其他政府性基金及对应专项债务收入安排的支出</t>
  </si>
  <si>
    <t xml:space="preserve">    彩票公益金及对应专项债务收入安排的支出</t>
  </si>
  <si>
    <t>调出资金</t>
  </si>
  <si>
    <t>表七、三江县2023年社会保险基金调整表</t>
  </si>
  <si>
    <t>单位 ：万元</t>
  </si>
  <si>
    <t>收   入</t>
  </si>
  <si>
    <t>支    出</t>
  </si>
  <si>
    <t>科   目</t>
  </si>
  <si>
    <t>1、机关事业基本养老基金收入</t>
  </si>
  <si>
    <t>1、机关事业基本养老基金支出</t>
  </si>
  <si>
    <t xml:space="preserve">   其中：机关事业保险费收入</t>
  </si>
  <si>
    <t xml:space="preserve">   其中：机关事业保险费支出</t>
  </si>
  <si>
    <t xml:space="preserve">         基本养老财政补助收入</t>
  </si>
  <si>
    <t xml:space="preserve">         丧葬抚恤补助支出</t>
  </si>
  <si>
    <t xml:space="preserve">         其他养老基金收入</t>
  </si>
  <si>
    <t xml:space="preserve">         其他支出</t>
  </si>
  <si>
    <t xml:space="preserve">     上年结余</t>
  </si>
  <si>
    <t xml:space="preserve">     年末结余</t>
  </si>
  <si>
    <t>2、城乡居民社会养老保险基金收入</t>
  </si>
  <si>
    <t>2、城乡居民社会养老保险基金支出</t>
  </si>
  <si>
    <t xml:space="preserve">   其中：城乡居民基本养老缴费收入</t>
  </si>
  <si>
    <t xml:space="preserve">   其中：基础养老金支出</t>
  </si>
  <si>
    <t xml:space="preserve">         政府补贴收入</t>
  </si>
  <si>
    <t xml:space="preserve">         个人账户养老金支出</t>
  </si>
  <si>
    <t xml:space="preserve">         其他收入</t>
  </si>
  <si>
    <t>合     计</t>
  </si>
  <si>
    <t>表八、三江县2023年国有资本经营预算收支调整表</t>
  </si>
  <si>
    <t>金额单位：万元</t>
  </si>
  <si>
    <r>
      <t>收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</si>
  <si>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</si>
  <si>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目</t>
    </r>
  </si>
  <si>
    <t>行次</t>
  </si>
  <si>
    <t>省本级</t>
  </si>
  <si>
    <t>市、县级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</si>
  <si>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</si>
  <si>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</si>
  <si>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</si>
  <si>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</si>
  <si>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</si>
  <si>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</si>
  <si>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</si>
  <si>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</si>
  <si>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</si>
  <si>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</si>
  <si>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</si>
  <si>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</si>
  <si>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</si>
  <si>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</si>
  <si>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</si>
  <si>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——</t>
  </si>
  <si>
    <t>上年结转</t>
  </si>
  <si>
    <t>国有资本经营预算调出资金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</si>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</sst>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0.00_ "/>
    <numFmt numFmtId="180" formatCode="_ * #,##0_ ;_ * \-#,##0_ ;_ * &quot;-&quot;??_ ;_ @_ "/>
    <numFmt numFmtId="181" formatCode="0.0_ "/>
  </numFmts>
  <fonts count="3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黑体"/>
      <family val="3"/>
    </font>
    <font>
      <sz val="12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" applyNumberFormat="0" applyAlignment="0" applyProtection="0"/>
    <xf numFmtId="0" fontId="27" fillId="4" borderId="6" applyNumberFormat="0" applyAlignment="0" applyProtection="0"/>
    <xf numFmtId="0" fontId="28" fillId="4" borderId="5" applyNumberFormat="0" applyAlignment="0" applyProtection="0"/>
    <xf numFmtId="0" fontId="29" fillId="5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7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3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3" fontId="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18" xfId="15" applyNumberFormat="1" applyFont="1" applyFill="1" applyBorder="1" applyAlignment="1">
      <alignment vertical="center"/>
    </xf>
    <xf numFmtId="177" fontId="3" fillId="0" borderId="18" xfId="15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176" fontId="1" fillId="0" borderId="18" xfId="15" applyNumberFormat="1" applyFont="1" applyFill="1" applyBorder="1" applyAlignment="1">
      <alignment horizontal="right" vertical="center"/>
    </xf>
    <xf numFmtId="176" fontId="1" fillId="0" borderId="18" xfId="15" applyNumberFormat="1" applyFont="1" applyFill="1" applyBorder="1" applyAlignment="1">
      <alignment vertical="center"/>
    </xf>
    <xf numFmtId="177" fontId="1" fillId="0" borderId="18" xfId="15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vertical="center"/>
    </xf>
    <xf numFmtId="3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70" applyFont="1" applyFill="1" applyAlignment="1">
      <alignment horizontal="center" vertical="center"/>
      <protection/>
    </xf>
    <xf numFmtId="0" fontId="9" fillId="0" borderId="0" xfId="70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11" fillId="0" borderId="10" xfId="70" applyFont="1" applyFill="1" applyBorder="1" applyAlignment="1">
      <alignment horizontal="distributed" vertical="center"/>
      <protection/>
    </xf>
    <xf numFmtId="0" fontId="11" fillId="0" borderId="11" xfId="70" applyFont="1" applyFill="1" applyBorder="1" applyAlignment="1">
      <alignment horizontal="distributed" vertical="center"/>
      <protection/>
    </xf>
    <xf numFmtId="0" fontId="11" fillId="0" borderId="10" xfId="70" applyFont="1" applyFill="1" applyBorder="1" applyAlignment="1">
      <alignment horizontal="center" vertical="center"/>
      <protection/>
    </xf>
    <xf numFmtId="0" fontId="11" fillId="0" borderId="11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horizontal="distributed"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2" fillId="0" borderId="18" xfId="70" applyNumberFormat="1" applyFont="1" applyFill="1" applyBorder="1" applyAlignment="1" applyProtection="1">
      <alignment vertical="center"/>
      <protection/>
    </xf>
    <xf numFmtId="0" fontId="12" fillId="0" borderId="18" xfId="70" applyFont="1" applyFill="1" applyBorder="1" applyAlignment="1">
      <alignment vertical="center"/>
      <protection/>
    </xf>
    <xf numFmtId="179" fontId="12" fillId="0" borderId="18" xfId="68" applyNumberFormat="1" applyFont="1" applyFill="1" applyBorder="1" applyAlignment="1">
      <alignment vertical="center"/>
      <protection/>
    </xf>
    <xf numFmtId="3" fontId="12" fillId="0" borderId="18" xfId="70" applyNumberFormat="1" applyFont="1" applyFill="1" applyBorder="1" applyAlignment="1" applyProtection="1">
      <alignment horizontal="left" vertical="center"/>
      <protection/>
    </xf>
    <xf numFmtId="0" fontId="12" fillId="0" borderId="17" xfId="70" applyFont="1" applyFill="1" applyBorder="1" applyAlignment="1">
      <alignment horizontal="right" vertical="center"/>
      <protection/>
    </xf>
    <xf numFmtId="0" fontId="10" fillId="0" borderId="18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0" borderId="18" xfId="70" applyFont="1" applyFill="1" applyBorder="1" applyAlignment="1">
      <alignment horizontal="left" vertical="center"/>
      <protection/>
    </xf>
    <xf numFmtId="0" fontId="12" fillId="0" borderId="18" xfId="70" applyFont="1" applyFill="1" applyBorder="1" applyAlignment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12" fillId="0" borderId="18" xfId="70" applyNumberFormat="1" applyFont="1" applyFill="1" applyBorder="1" applyAlignment="1">
      <alignment vertical="center"/>
      <protection/>
    </xf>
    <xf numFmtId="0" fontId="13" fillId="0" borderId="18" xfId="70" applyFont="1" applyFill="1" applyBorder="1" applyAlignment="1">
      <alignment horizontal="left" vertical="center"/>
      <protection/>
    </xf>
    <xf numFmtId="3" fontId="12" fillId="0" borderId="18" xfId="68" applyNumberFormat="1" applyFont="1" applyFill="1" applyBorder="1" applyAlignment="1" applyProtection="1">
      <alignment horizontal="left" vertical="center"/>
      <protection/>
    </xf>
    <xf numFmtId="0" fontId="11" fillId="0" borderId="12" xfId="70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" fillId="0" borderId="18" xfId="70" applyFont="1" applyFill="1" applyBorder="1" applyAlignment="1">
      <alignment vertical="center"/>
      <protection/>
    </xf>
    <xf numFmtId="0" fontId="12" fillId="24" borderId="18" xfId="70" applyFont="1" applyFill="1" applyBorder="1" applyAlignment="1">
      <alignment vertical="center"/>
      <protection/>
    </xf>
    <xf numFmtId="3" fontId="12" fillId="0" borderId="10" xfId="70" applyNumberFormat="1" applyFont="1" applyFill="1" applyBorder="1" applyAlignment="1" applyProtection="1">
      <alignment vertical="center"/>
      <protection/>
    </xf>
    <xf numFmtId="0" fontId="12" fillId="0" borderId="10" xfId="70" applyFont="1" applyFill="1" applyBorder="1" applyAlignment="1">
      <alignment vertical="center"/>
      <protection/>
    </xf>
    <xf numFmtId="0" fontId="11" fillId="0" borderId="18" xfId="70" applyFont="1" applyFill="1" applyBorder="1" applyAlignment="1">
      <alignment horizontal="distributed" vertical="center"/>
      <protection/>
    </xf>
    <xf numFmtId="3" fontId="12" fillId="0" borderId="10" xfId="70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12" fillId="0" borderId="17" xfId="70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1" fontId="6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1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0" xfId="15" applyNumberFormat="1" applyFont="1" applyFill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179" fontId="11" fillId="0" borderId="18" xfId="67" applyNumberFormat="1" applyFont="1" applyFill="1" applyBorder="1" applyAlignment="1">
      <alignment vertical="center"/>
      <protection/>
    </xf>
    <xf numFmtId="177" fontId="12" fillId="0" borderId="18" xfId="0" applyNumberFormat="1" applyFont="1" applyFill="1" applyBorder="1" applyAlignment="1" applyProtection="1">
      <alignment horizontal="left" vertical="center"/>
      <protection locked="0"/>
    </xf>
    <xf numFmtId="1" fontId="12" fillId="0" borderId="18" xfId="0" applyNumberFormat="1" applyFont="1" applyFill="1" applyBorder="1" applyAlignment="1">
      <alignment vertical="center"/>
    </xf>
    <xf numFmtId="179" fontId="12" fillId="0" borderId="18" xfId="67" applyNumberFormat="1" applyFont="1" applyFill="1" applyBorder="1" applyAlignment="1">
      <alignment vertical="center"/>
      <protection/>
    </xf>
    <xf numFmtId="181" fontId="12" fillId="0" borderId="18" xfId="0" applyNumberFormat="1" applyFont="1" applyFill="1" applyBorder="1" applyAlignment="1" applyProtection="1">
      <alignment horizontal="left" vertical="center"/>
      <protection locked="0"/>
    </xf>
    <xf numFmtId="1" fontId="12" fillId="0" borderId="18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177" fontId="13" fillId="0" borderId="18" xfId="0" applyNumberFormat="1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right" vertical="center"/>
    </xf>
    <xf numFmtId="1" fontId="11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/>
    </xf>
    <xf numFmtId="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fill" vertical="center"/>
    </xf>
    <xf numFmtId="0" fontId="2" fillId="0" borderId="0" xfId="69" applyFont="1" applyFill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0" fontId="6" fillId="0" borderId="21" xfId="69" applyFont="1" applyFill="1" applyBorder="1" applyAlignment="1">
      <alignment horizontal="right" vertical="center"/>
      <protection/>
    </xf>
    <xf numFmtId="0" fontId="17" fillId="0" borderId="10" xfId="69" applyFont="1" applyFill="1" applyBorder="1" applyAlignment="1">
      <alignment horizontal="distributed" vertical="center"/>
      <protection/>
    </xf>
    <xf numFmtId="0" fontId="17" fillId="0" borderId="11" xfId="69" applyFont="1" applyFill="1" applyBorder="1" applyAlignment="1">
      <alignment horizontal="distributed" vertical="center"/>
      <protection/>
    </xf>
    <xf numFmtId="0" fontId="17" fillId="0" borderId="10" xfId="69" applyFont="1" applyFill="1" applyBorder="1" applyAlignment="1">
      <alignment horizontal="center" vertical="center"/>
      <protection/>
    </xf>
    <xf numFmtId="0" fontId="17" fillId="0" borderId="11" xfId="69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distributed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center" vertical="center" wrapText="1"/>
      <protection/>
    </xf>
    <xf numFmtId="0" fontId="11" fillId="0" borderId="18" xfId="69" applyFont="1" applyFill="1" applyBorder="1" applyAlignment="1">
      <alignment horizontal="left" vertical="center"/>
      <protection/>
    </xf>
    <xf numFmtId="0" fontId="11" fillId="0" borderId="18" xfId="69" applyFont="1" applyFill="1" applyBorder="1" applyAlignment="1">
      <alignment vertical="center"/>
      <protection/>
    </xf>
    <xf numFmtId="1" fontId="11" fillId="0" borderId="18" xfId="69" applyNumberFormat="1" applyFont="1" applyFill="1" applyBorder="1" applyAlignment="1">
      <alignment vertical="center"/>
      <protection/>
    </xf>
    <xf numFmtId="1" fontId="11" fillId="0" borderId="18" xfId="69" applyNumberFormat="1" applyFont="1" applyFill="1" applyBorder="1" applyAlignment="1" applyProtection="1">
      <alignment vertical="center"/>
      <protection locked="0"/>
    </xf>
    <xf numFmtId="1" fontId="11" fillId="0" borderId="18" xfId="69" applyNumberFormat="1" applyFont="1" applyFill="1" applyBorder="1" applyAlignment="1" applyProtection="1">
      <alignment horizontal="left" vertical="center"/>
      <protection locked="0"/>
    </xf>
    <xf numFmtId="1" fontId="12" fillId="0" borderId="18" xfId="69" applyNumberFormat="1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>
      <alignment vertical="center"/>
      <protection/>
    </xf>
    <xf numFmtId="1" fontId="12" fillId="0" borderId="18" xfId="69" applyNumberFormat="1" applyFont="1" applyFill="1" applyBorder="1" applyAlignment="1" applyProtection="1">
      <alignment vertical="center"/>
      <protection locked="0"/>
    </xf>
    <xf numFmtId="3" fontId="6" fillId="25" borderId="19" xfId="0" applyNumberFormat="1" applyFont="1" applyFill="1" applyBorder="1" applyAlignment="1" applyProtection="1">
      <alignment horizontal="right" vertical="center"/>
      <protection/>
    </xf>
    <xf numFmtId="3" fontId="6" fillId="25" borderId="18" xfId="0" applyNumberFormat="1" applyFont="1" applyFill="1" applyBorder="1" applyAlignment="1" applyProtection="1">
      <alignment horizontal="right" vertical="center"/>
      <protection/>
    </xf>
    <xf numFmtId="3" fontId="6" fillId="25" borderId="17" xfId="0" applyNumberFormat="1" applyFont="1" applyFill="1" applyBorder="1" applyAlignment="1" applyProtection="1">
      <alignment horizontal="right" vertical="center"/>
      <protection/>
    </xf>
    <xf numFmtId="1" fontId="12" fillId="0" borderId="18" xfId="69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69" applyNumberFormat="1" applyFont="1" applyFill="1" applyBorder="1" applyAlignment="1" applyProtection="1">
      <alignment horizontal="left" vertical="center"/>
      <protection locked="0"/>
    </xf>
    <xf numFmtId="3" fontId="12" fillId="0" borderId="18" xfId="69" applyNumberFormat="1" applyFont="1" applyFill="1" applyBorder="1" applyAlignment="1" applyProtection="1">
      <alignment vertical="center"/>
      <protection/>
    </xf>
    <xf numFmtId="3" fontId="13" fillId="0" borderId="18" xfId="69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12" fillId="0" borderId="18" xfId="69" applyNumberFormat="1" applyFont="1" applyFill="1" applyBorder="1" applyAlignment="1" applyProtection="1">
      <alignment vertical="center"/>
      <protection locked="0"/>
    </xf>
    <xf numFmtId="3" fontId="12" fillId="0" borderId="18" xfId="69" applyNumberFormat="1" applyFont="1" applyFill="1" applyBorder="1" applyAlignment="1" applyProtection="1">
      <alignment horizontal="left" vertical="center"/>
      <protection/>
    </xf>
    <xf numFmtId="3" fontId="11" fillId="0" borderId="18" xfId="69" applyNumberFormat="1" applyFont="1" applyFill="1" applyBorder="1" applyAlignment="1" applyProtection="1">
      <alignment vertical="center"/>
      <protection/>
    </xf>
    <xf numFmtId="0" fontId="17" fillId="0" borderId="12" xfId="69" applyFont="1" applyFill="1" applyBorder="1" applyAlignment="1">
      <alignment horizontal="center" vertical="center"/>
      <protection/>
    </xf>
    <xf numFmtId="1" fontId="12" fillId="0" borderId="18" xfId="69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2" fillId="0" borderId="18" xfId="69" applyFont="1" applyFill="1" applyBorder="1" applyAlignment="1">
      <alignment horizontal="left" vertical="center"/>
      <protection/>
    </xf>
    <xf numFmtId="1" fontId="11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18" xfId="69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2" fillId="0" borderId="0" xfId="67" applyFont="1" applyFill="1" applyAlignment="1">
      <alignment horizontal="center" vertical="center"/>
      <protection/>
    </xf>
    <xf numFmtId="0" fontId="9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Fill="1" applyAlignment="1">
      <alignment horizontal="center" vertical="center"/>
      <protection/>
    </xf>
    <xf numFmtId="0" fontId="3" fillId="0" borderId="18" xfId="67" applyFont="1" applyFill="1" applyBorder="1" applyAlignment="1">
      <alignment horizontal="distributed" vertical="center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18" xfId="67" applyFont="1" applyFill="1" applyBorder="1" applyAlignment="1">
      <alignment vertical="center"/>
      <protection/>
    </xf>
    <xf numFmtId="179" fontId="3" fillId="0" borderId="18" xfId="67" applyNumberFormat="1" applyFont="1" applyFill="1" applyBorder="1" applyAlignment="1">
      <alignment vertical="center"/>
      <protection/>
    </xf>
    <xf numFmtId="0" fontId="1" fillId="0" borderId="18" xfId="67" applyFont="1" applyFill="1" applyBorder="1" applyAlignment="1">
      <alignment vertical="center"/>
      <protection/>
    </xf>
    <xf numFmtId="179" fontId="1" fillId="0" borderId="18" xfId="67" applyNumberFormat="1" applyFont="1" applyFill="1" applyBorder="1" applyAlignment="1">
      <alignment vertical="center"/>
      <protection/>
    </xf>
    <xf numFmtId="0" fontId="1" fillId="0" borderId="18" xfId="67" applyFont="1" applyFill="1" applyBorder="1" applyAlignment="1">
      <alignment horizontal="left" vertical="center"/>
      <protection/>
    </xf>
    <xf numFmtId="0" fontId="1" fillId="0" borderId="18" xfId="0" applyFont="1" applyFill="1" applyBorder="1" applyAlignment="1">
      <alignment horizontal="right" vertical="center"/>
    </xf>
    <xf numFmtId="0" fontId="0" fillId="0" borderId="15" xfId="67" applyFill="1" applyBorder="1" applyAlignment="1">
      <alignment horizontal="left" vertical="center" wrapText="1"/>
      <protection/>
    </xf>
    <xf numFmtId="0" fontId="0" fillId="0" borderId="15" xfId="67" applyFont="1" applyFill="1" applyBorder="1" applyAlignment="1">
      <alignment horizontal="left" vertical="center" wrapText="1"/>
      <protection/>
    </xf>
    <xf numFmtId="0" fontId="2" fillId="0" borderId="0" xfId="67" applyFont="1" applyFill="1" applyAlignment="1" quotePrefix="1">
      <alignment horizontal="center" vertical="center"/>
      <protection/>
    </xf>
    <xf numFmtId="0" fontId="3" fillId="0" borderId="18" xfId="67" applyFont="1" applyFill="1" applyBorder="1" applyAlignment="1" quotePrefix="1">
      <alignment horizontal="center" vertical="center" wrapText="1"/>
      <protection/>
    </xf>
    <xf numFmtId="0" fontId="1" fillId="0" borderId="18" xfId="67" applyFont="1" applyFill="1" applyBorder="1" applyAlignment="1" quotePrefix="1">
      <alignment horizontal="left" vertical="center"/>
      <protection/>
    </xf>
    <xf numFmtId="0" fontId="2" fillId="0" borderId="0" xfId="69" applyFont="1" applyFill="1" applyAlignment="1" quotePrefix="1">
      <alignment horizontal="center" vertical="center"/>
      <protection/>
    </xf>
    <xf numFmtId="0" fontId="5" fillId="0" borderId="18" xfId="69" applyFont="1" applyFill="1" applyBorder="1" applyAlignment="1" quotePrefix="1">
      <alignment horizontal="center" vertical="center" wrapText="1"/>
      <protection/>
    </xf>
    <xf numFmtId="1" fontId="12" fillId="0" borderId="18" xfId="69" applyNumberFormat="1" applyFont="1" applyFill="1" applyBorder="1" applyAlignment="1" applyProtection="1" quotePrefix="1">
      <alignment horizontal="left" vertical="center" wrapText="1"/>
      <protection locked="0"/>
    </xf>
    <xf numFmtId="1" fontId="11" fillId="0" borderId="18" xfId="69" applyNumberFormat="1" applyFont="1" applyFill="1" applyBorder="1" applyAlignment="1" applyProtection="1" quotePrefix="1">
      <alignment horizontal="left" vertical="center"/>
      <protection locked="0"/>
    </xf>
    <xf numFmtId="0" fontId="12" fillId="0" borderId="18" xfId="69" applyNumberFormat="1" applyFont="1" applyFill="1" applyBorder="1" applyAlignment="1" applyProtection="1" quotePrefix="1">
      <alignment horizontal="left" vertical="center"/>
      <protection locked="0"/>
    </xf>
    <xf numFmtId="3" fontId="13" fillId="0" borderId="18" xfId="69" applyNumberFormat="1" applyFont="1" applyFill="1" applyBorder="1" applyAlignment="1" applyProtection="1" quotePrefix="1">
      <alignment horizontal="left" vertical="center"/>
      <protection/>
    </xf>
    <xf numFmtId="3" fontId="12" fillId="0" borderId="18" xfId="69" applyNumberFormat="1" applyFont="1" applyFill="1" applyBorder="1" applyAlignment="1" applyProtection="1" quotePrefix="1">
      <alignment horizontal="left" vertical="center"/>
      <protection/>
    </xf>
    <xf numFmtId="0" fontId="12" fillId="0" borderId="18" xfId="69" applyFont="1" applyFill="1" applyBorder="1" applyAlignment="1" quotePrefix="1">
      <alignment horizontal="left" vertical="center"/>
      <protection/>
    </xf>
    <xf numFmtId="1" fontId="11" fillId="0" borderId="18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18" xfId="0" applyNumberFormat="1" applyFont="1" applyFill="1" applyBorder="1" applyAlignment="1" applyProtection="1" quotePrefix="1">
      <alignment horizontal="left" vertical="center"/>
      <protection/>
    </xf>
    <xf numFmtId="1" fontId="12" fillId="0" borderId="18" xfId="69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Fill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 wrapText="1"/>
    </xf>
    <xf numFmtId="0" fontId="12" fillId="0" borderId="18" xfId="0" applyFont="1" applyFill="1" applyBorder="1" applyAlignment="1" quotePrefix="1">
      <alignment horizontal="left" vertical="center"/>
    </xf>
    <xf numFmtId="0" fontId="11" fillId="0" borderId="18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fill" vertical="center"/>
    </xf>
    <xf numFmtId="0" fontId="16" fillId="0" borderId="0" xfId="0" applyNumberFormat="1" applyFont="1" applyFill="1" applyAlignment="1" applyProtection="1" quotePrefix="1">
      <alignment horizontal="center" vertical="center"/>
      <protection/>
    </xf>
    <xf numFmtId="0" fontId="5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1" fontId="5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0" applyNumberFormat="1" applyFont="1" applyFill="1" applyBorder="1" applyAlignment="1" applyProtection="1" quotePrefix="1">
      <alignment horizontal="left" vertical="center"/>
      <protection/>
    </xf>
    <xf numFmtId="49" fontId="6" fillId="0" borderId="18" xfId="0" applyNumberFormat="1" applyFont="1" applyFill="1" applyBorder="1" applyAlignment="1" applyProtection="1" quotePrefix="1">
      <alignment horizontal="left" vertical="center"/>
      <protection/>
    </xf>
    <xf numFmtId="0" fontId="5" fillId="0" borderId="1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70" applyFont="1" applyFill="1" applyAlignment="1" quotePrefix="1">
      <alignment horizontal="center" vertical="center"/>
      <protection/>
    </xf>
    <xf numFmtId="0" fontId="11" fillId="0" borderId="18" xfId="0" applyFont="1" applyFill="1" applyBorder="1" applyAlignment="1" quotePrefix="1">
      <alignment horizontal="center" vertical="center" wrapText="1"/>
    </xf>
    <xf numFmtId="0" fontId="12" fillId="0" borderId="0" xfId="0" applyFont="1" applyFill="1" applyAlignment="1" quotePrefix="1">
      <alignment horizontal="center" wrapText="1"/>
    </xf>
    <xf numFmtId="3" fontId="12" fillId="0" borderId="18" xfId="70" applyNumberFormat="1" applyFont="1" applyFill="1" applyBorder="1" applyAlignment="1" applyProtection="1" quotePrefix="1">
      <alignment horizontal="left" vertical="center"/>
      <protection/>
    </xf>
    <xf numFmtId="3" fontId="12" fillId="0" borderId="18" xfId="68" applyNumberFormat="1" applyFont="1" applyFill="1" applyBorder="1" applyAlignment="1" applyProtection="1" quotePrefix="1">
      <alignment horizontal="left" vertical="center"/>
      <protection/>
    </xf>
    <xf numFmtId="0" fontId="12" fillId="0" borderId="18" xfId="70" applyFont="1" applyFill="1" applyBorder="1" applyAlignment="1" quotePrefix="1">
      <alignment horizontal="left" vertical="center"/>
      <protection/>
    </xf>
    <xf numFmtId="3" fontId="6" fillId="0" borderId="18" xfId="0" applyNumberFormat="1" applyFont="1" applyFill="1" applyBorder="1" applyAlignment="1" applyProtection="1" quotePrefix="1">
      <alignment horizontal="left" vertical="center"/>
      <protection/>
    </xf>
    <xf numFmtId="0" fontId="5" fillId="0" borderId="13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left" vertical="center"/>
    </xf>
    <xf numFmtId="0" fontId="1" fillId="0" borderId="18" xfId="0" applyFont="1" applyFill="1" applyBorder="1" applyAlignment="1" quotePrefix="1">
      <alignment horizontal="left" vertical="center"/>
    </xf>
    <xf numFmtId="0" fontId="3" fillId="0" borderId="18" xfId="0" applyFont="1" applyFill="1" applyBorder="1" applyAlignment="1" quotePrefix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left" vertical="center" wrapText="1"/>
    </xf>
    <xf numFmtId="0" fontId="6" fillId="0" borderId="18" xfId="0" applyFont="1" applyBorder="1" applyAlignment="1" quotePrefix="1">
      <alignment horizontal="left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2" xfId="64"/>
    <cellStyle name="常规 3" xfId="65"/>
    <cellStyle name="常规 4" xfId="66"/>
    <cellStyle name="常规_Sheet1" xfId="67"/>
    <cellStyle name="常规_Sheet10" xfId="68"/>
    <cellStyle name="常规_Sheet3" xfId="69"/>
    <cellStyle name="常规_Sheet9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I3" sqref="I3:P5"/>
    </sheetView>
  </sheetViews>
  <sheetFormatPr defaultColWidth="9.00390625" defaultRowHeight="14.25"/>
  <cols>
    <col min="1" max="1" width="31.50390625" style="222" customWidth="1"/>
    <col min="2" max="2" width="12.625" style="222" customWidth="1"/>
    <col min="3" max="3" width="10.375" style="222" customWidth="1"/>
    <col min="4" max="5" width="11.25390625" style="222" customWidth="1"/>
    <col min="6" max="6" width="12.75390625" style="222" customWidth="1"/>
    <col min="7" max="16384" width="9.00390625" style="222" customWidth="1"/>
  </cols>
  <sheetData>
    <row r="1" spans="1:6" ht="20.25">
      <c r="A1" s="238" t="s">
        <v>0</v>
      </c>
      <c r="B1" s="223"/>
      <c r="C1" s="223"/>
      <c r="D1" s="223"/>
      <c r="E1" s="223"/>
      <c r="F1" s="223"/>
    </row>
    <row r="2" spans="1:6" ht="14.25">
      <c r="A2" s="224"/>
      <c r="B2" s="225"/>
      <c r="C2" s="225"/>
      <c r="D2" s="225"/>
      <c r="E2" s="225"/>
      <c r="F2" s="226" t="s">
        <v>1</v>
      </c>
    </row>
    <row r="3" spans="1:15" ht="39.75" customHeight="1">
      <c r="A3" s="227" t="s">
        <v>2</v>
      </c>
      <c r="B3" s="239" t="s">
        <v>3</v>
      </c>
      <c r="C3" s="239" t="s">
        <v>4</v>
      </c>
      <c r="D3" s="228" t="s">
        <v>5</v>
      </c>
      <c r="E3" s="239" t="s">
        <v>6</v>
      </c>
      <c r="F3" s="228" t="s">
        <v>7</v>
      </c>
      <c r="H3" s="229"/>
      <c r="I3" s="229"/>
      <c r="J3" s="229"/>
      <c r="K3" s="229"/>
      <c r="L3" s="229"/>
      <c r="M3" s="229"/>
      <c r="N3" s="229"/>
      <c r="O3" s="229"/>
    </row>
    <row r="4" spans="1:15" ht="25.5" customHeight="1">
      <c r="A4" s="230" t="s">
        <v>8</v>
      </c>
      <c r="B4" s="230">
        <f>SUM(B5:B18)</f>
        <v>9987</v>
      </c>
      <c r="C4" s="230">
        <f>SUM(C5:C17)</f>
        <v>12630</v>
      </c>
      <c r="D4" s="230">
        <f>SUM(D5:D17)</f>
        <v>-177</v>
      </c>
      <c r="E4" s="230">
        <f>SUM(E5:E17)</f>
        <v>12453</v>
      </c>
      <c r="F4" s="231">
        <f>IF(B4=0,,SUM(E4/B4*100)-100)</f>
        <v>24.692099729648547</v>
      </c>
      <c r="H4" s="229"/>
      <c r="I4" s="229"/>
      <c r="J4" s="229"/>
      <c r="K4" s="229"/>
      <c r="L4" s="229"/>
      <c r="M4" s="229"/>
      <c r="N4" s="229"/>
      <c r="O4" s="229"/>
    </row>
    <row r="5" spans="1:15" ht="19.5" customHeight="1">
      <c r="A5" s="232" t="s">
        <v>9</v>
      </c>
      <c r="B5" s="89">
        <v>1241</v>
      </c>
      <c r="C5" s="232">
        <v>4160</v>
      </c>
      <c r="D5" s="232">
        <f>E5-C5</f>
        <v>505</v>
      </c>
      <c r="E5" s="232">
        <v>4665</v>
      </c>
      <c r="F5" s="233">
        <f>IF(B5=0,,SUM(E5/B5*100)-100)</f>
        <v>275.90652699435935</v>
      </c>
      <c r="H5" s="229"/>
      <c r="I5" s="229"/>
      <c r="J5" s="229"/>
      <c r="K5" s="229"/>
      <c r="L5" s="229"/>
      <c r="M5" s="229"/>
      <c r="N5" s="229"/>
      <c r="O5" s="229"/>
    </row>
    <row r="6" spans="1:15" ht="19.5" customHeight="1">
      <c r="A6" s="232" t="s">
        <v>10</v>
      </c>
      <c r="B6" s="89">
        <v>1653</v>
      </c>
      <c r="C6" s="232">
        <v>1660</v>
      </c>
      <c r="D6" s="232">
        <f aca="true" t="shared" si="0" ref="D6:D17">E6-C6</f>
        <v>-63</v>
      </c>
      <c r="E6" s="232">
        <v>1597</v>
      </c>
      <c r="F6" s="233">
        <f aca="true" t="shared" si="1" ref="F6:F26">IF(B6=0,,SUM(E6/B6*100)-100)</f>
        <v>-3.3877797943133743</v>
      </c>
      <c r="H6" s="229"/>
      <c r="I6" s="229"/>
      <c r="J6" s="229"/>
      <c r="K6" s="229"/>
      <c r="L6" s="229"/>
      <c r="M6" s="229"/>
      <c r="N6" s="229"/>
      <c r="O6" s="229"/>
    </row>
    <row r="7" spans="1:15" ht="19.5" customHeight="1">
      <c r="A7" s="232" t="s">
        <v>11</v>
      </c>
      <c r="B7" s="89">
        <v>366</v>
      </c>
      <c r="C7" s="232">
        <v>370</v>
      </c>
      <c r="D7" s="232">
        <f t="shared" si="0"/>
        <v>60</v>
      </c>
      <c r="E7" s="232">
        <v>430</v>
      </c>
      <c r="F7" s="233">
        <f t="shared" si="1"/>
        <v>17.4863387978142</v>
      </c>
      <c r="H7" s="229"/>
      <c r="I7" s="229"/>
      <c r="J7" s="229"/>
      <c r="K7" s="229"/>
      <c r="L7" s="229"/>
      <c r="M7" s="229"/>
      <c r="N7" s="229"/>
      <c r="O7" s="229"/>
    </row>
    <row r="8" spans="1:15" ht="19.5" customHeight="1">
      <c r="A8" s="232" t="s">
        <v>12</v>
      </c>
      <c r="B8" s="89">
        <v>58</v>
      </c>
      <c r="C8" s="232">
        <v>60</v>
      </c>
      <c r="D8" s="232">
        <f t="shared" si="0"/>
        <v>-19</v>
      </c>
      <c r="E8" s="232">
        <v>41</v>
      </c>
      <c r="F8" s="233">
        <f t="shared" si="1"/>
        <v>-29.310344827586206</v>
      </c>
      <c r="H8" s="229"/>
      <c r="I8" s="229"/>
      <c r="J8" s="229"/>
      <c r="K8" s="229"/>
      <c r="L8" s="229"/>
      <c r="M8" s="229"/>
      <c r="N8" s="229"/>
      <c r="O8" s="229"/>
    </row>
    <row r="9" spans="1:15" ht="19.5" customHeight="1">
      <c r="A9" s="232" t="s">
        <v>13</v>
      </c>
      <c r="B9" s="89">
        <v>642</v>
      </c>
      <c r="C9" s="232">
        <v>660</v>
      </c>
      <c r="D9" s="232">
        <f t="shared" si="0"/>
        <v>63</v>
      </c>
      <c r="E9" s="232">
        <v>723</v>
      </c>
      <c r="F9" s="233">
        <f t="shared" si="1"/>
        <v>12.616822429906534</v>
      </c>
      <c r="H9" s="229"/>
      <c r="I9" s="229"/>
      <c r="J9" s="229"/>
      <c r="K9" s="229"/>
      <c r="L9" s="229"/>
      <c r="M9" s="229"/>
      <c r="N9" s="229"/>
      <c r="O9" s="229"/>
    </row>
    <row r="10" spans="1:15" ht="19.5" customHeight="1">
      <c r="A10" s="232" t="s">
        <v>14</v>
      </c>
      <c r="B10" s="89">
        <v>1045</v>
      </c>
      <c r="C10" s="232">
        <v>1050</v>
      </c>
      <c r="D10" s="232">
        <f t="shared" si="0"/>
        <v>-124</v>
      </c>
      <c r="E10" s="232">
        <v>926</v>
      </c>
      <c r="F10" s="233">
        <f t="shared" si="1"/>
        <v>-11.387559808612437</v>
      </c>
      <c r="H10" s="229"/>
      <c r="I10" s="229"/>
      <c r="J10" s="229"/>
      <c r="K10" s="229"/>
      <c r="L10" s="229"/>
      <c r="M10" s="229"/>
      <c r="N10" s="229"/>
      <c r="O10" s="229"/>
    </row>
    <row r="11" spans="1:15" ht="19.5" customHeight="1">
      <c r="A11" s="232" t="s">
        <v>15</v>
      </c>
      <c r="B11" s="89">
        <v>422</v>
      </c>
      <c r="C11" s="232">
        <v>430</v>
      </c>
      <c r="D11" s="232">
        <f t="shared" si="0"/>
        <v>-164</v>
      </c>
      <c r="E11" s="232">
        <v>266</v>
      </c>
      <c r="F11" s="233">
        <f t="shared" si="1"/>
        <v>-36.96682464454977</v>
      </c>
      <c r="H11" s="229"/>
      <c r="I11" s="229"/>
      <c r="J11" s="229"/>
      <c r="K11" s="229"/>
      <c r="L11" s="229"/>
      <c r="M11" s="229"/>
      <c r="N11" s="229"/>
      <c r="O11" s="229"/>
    </row>
    <row r="12" spans="1:15" ht="19.5" customHeight="1">
      <c r="A12" s="232" t="s">
        <v>16</v>
      </c>
      <c r="B12" s="89">
        <v>242</v>
      </c>
      <c r="C12" s="232">
        <v>240</v>
      </c>
      <c r="D12" s="232">
        <f t="shared" si="0"/>
        <v>-32</v>
      </c>
      <c r="E12" s="232">
        <v>208</v>
      </c>
      <c r="F12" s="233">
        <f t="shared" si="1"/>
        <v>-14.049586776859499</v>
      </c>
      <c r="H12" s="229"/>
      <c r="I12" s="229"/>
      <c r="J12" s="229"/>
      <c r="K12" s="229"/>
      <c r="L12" s="229"/>
      <c r="M12" s="229"/>
      <c r="N12" s="229"/>
      <c r="O12" s="229"/>
    </row>
    <row r="13" spans="1:15" ht="19.5" customHeight="1">
      <c r="A13" s="232" t="s">
        <v>17</v>
      </c>
      <c r="B13" s="89">
        <v>1204</v>
      </c>
      <c r="C13" s="232">
        <v>1200</v>
      </c>
      <c r="D13" s="232">
        <f t="shared" si="0"/>
        <v>-279</v>
      </c>
      <c r="E13" s="232">
        <v>921</v>
      </c>
      <c r="F13" s="233">
        <f t="shared" si="1"/>
        <v>-23.504983388704318</v>
      </c>
      <c r="H13" s="229"/>
      <c r="I13" s="229"/>
      <c r="J13" s="229"/>
      <c r="K13" s="229"/>
      <c r="L13" s="229"/>
      <c r="M13" s="229"/>
      <c r="N13" s="229"/>
      <c r="O13" s="229"/>
    </row>
    <row r="14" spans="1:15" ht="19.5" customHeight="1">
      <c r="A14" s="232" t="s">
        <v>18</v>
      </c>
      <c r="B14" s="89">
        <v>795</v>
      </c>
      <c r="C14" s="232">
        <v>800</v>
      </c>
      <c r="D14" s="232">
        <f t="shared" si="0"/>
        <v>-41</v>
      </c>
      <c r="E14" s="232">
        <v>759</v>
      </c>
      <c r="F14" s="233">
        <f t="shared" si="1"/>
        <v>-4.528301886792448</v>
      </c>
      <c r="H14" s="229"/>
      <c r="I14" s="229"/>
      <c r="J14" s="229"/>
      <c r="K14" s="229"/>
      <c r="L14" s="229"/>
      <c r="M14" s="229"/>
      <c r="N14" s="229"/>
      <c r="O14" s="229"/>
    </row>
    <row r="15" spans="1:15" ht="19.5" customHeight="1">
      <c r="A15" s="232" t="s">
        <v>19</v>
      </c>
      <c r="B15" s="89">
        <v>326</v>
      </c>
      <c r="C15" s="232">
        <v>330</v>
      </c>
      <c r="D15" s="232">
        <f t="shared" si="0"/>
        <v>-209</v>
      </c>
      <c r="E15" s="232">
        <v>121</v>
      </c>
      <c r="F15" s="233">
        <f t="shared" si="1"/>
        <v>-62.88343558282208</v>
      </c>
      <c r="H15" s="229"/>
      <c r="I15" s="229"/>
      <c r="J15" s="229"/>
      <c r="K15" s="229"/>
      <c r="L15" s="229"/>
      <c r="M15" s="229"/>
      <c r="N15" s="229"/>
      <c r="O15" s="229"/>
    </row>
    <row r="16" spans="1:15" ht="19.5" customHeight="1">
      <c r="A16" s="232" t="s">
        <v>20</v>
      </c>
      <c r="B16" s="89">
        <v>1988</v>
      </c>
      <c r="C16" s="232">
        <v>1664</v>
      </c>
      <c r="D16" s="232">
        <f t="shared" si="0"/>
        <v>131</v>
      </c>
      <c r="E16" s="232">
        <v>1795</v>
      </c>
      <c r="F16" s="233">
        <f t="shared" si="1"/>
        <v>-9.708249496981892</v>
      </c>
      <c r="H16" s="229"/>
      <c r="I16" s="229"/>
      <c r="J16" s="229"/>
      <c r="K16" s="229"/>
      <c r="L16" s="229"/>
      <c r="M16" s="229"/>
      <c r="N16" s="229"/>
      <c r="O16" s="229"/>
    </row>
    <row r="17" spans="1:15" ht="19.5" customHeight="1">
      <c r="A17" s="240" t="s">
        <v>21</v>
      </c>
      <c r="B17" s="89">
        <v>4</v>
      </c>
      <c r="C17" s="232">
        <v>6</v>
      </c>
      <c r="D17" s="232">
        <f t="shared" si="0"/>
        <v>-5</v>
      </c>
      <c r="E17" s="232">
        <v>1</v>
      </c>
      <c r="F17" s="233">
        <f t="shared" si="1"/>
        <v>-75</v>
      </c>
      <c r="H17" s="229"/>
      <c r="I17" s="229"/>
      <c r="J17" s="229"/>
      <c r="K17" s="229"/>
      <c r="L17" s="229"/>
      <c r="M17" s="229"/>
      <c r="N17" s="229"/>
      <c r="O17" s="229"/>
    </row>
    <row r="18" spans="1:6" ht="19.5" customHeight="1">
      <c r="A18" s="234" t="s">
        <v>22</v>
      </c>
      <c r="B18" s="89">
        <v>1</v>
      </c>
      <c r="C18" s="235"/>
      <c r="D18" s="232"/>
      <c r="E18" s="232"/>
      <c r="F18" s="233"/>
    </row>
    <row r="19" spans="1:6" ht="27" customHeight="1">
      <c r="A19" s="230" t="s">
        <v>23</v>
      </c>
      <c r="B19" s="230">
        <f>SUM(B20:B25)</f>
        <v>9630</v>
      </c>
      <c r="C19" s="230">
        <f>SUM(C20:C25)</f>
        <v>8165</v>
      </c>
      <c r="D19" s="230">
        <f>SUM(D20:D25)</f>
        <v>1480</v>
      </c>
      <c r="E19" s="230">
        <f>SUM(E20:E25)</f>
        <v>9645</v>
      </c>
      <c r="F19" s="231">
        <f aca="true" t="shared" si="2" ref="F19:F25">IF(B19=0,,SUM(E19/B19*100)-100)</f>
        <v>0.15576323987538387</v>
      </c>
    </row>
    <row r="20" spans="1:6" ht="19.5" customHeight="1">
      <c r="A20" s="232" t="s">
        <v>24</v>
      </c>
      <c r="B20" s="89">
        <v>1208</v>
      </c>
      <c r="C20" s="235">
        <v>2055</v>
      </c>
      <c r="D20" s="232">
        <f aca="true" t="shared" si="3" ref="D20:D25">E20-C20</f>
        <v>-1094</v>
      </c>
      <c r="E20" s="232">
        <v>961</v>
      </c>
      <c r="F20" s="233">
        <f t="shared" si="2"/>
        <v>-20.44701986754967</v>
      </c>
    </row>
    <row r="21" spans="1:6" ht="19.5" customHeight="1">
      <c r="A21" s="232" t="s">
        <v>25</v>
      </c>
      <c r="B21" s="89">
        <v>2350</v>
      </c>
      <c r="C21" s="235">
        <v>2300</v>
      </c>
      <c r="D21" s="232">
        <f t="shared" si="3"/>
        <v>-135</v>
      </c>
      <c r="E21" s="232">
        <v>2165</v>
      </c>
      <c r="F21" s="233">
        <f t="shared" si="2"/>
        <v>-7.872340425531917</v>
      </c>
    </row>
    <row r="22" spans="1:6" ht="19.5" customHeight="1">
      <c r="A22" s="232" t="s">
        <v>26</v>
      </c>
      <c r="B22" s="89">
        <v>1587</v>
      </c>
      <c r="C22" s="235">
        <v>1650</v>
      </c>
      <c r="D22" s="232">
        <f t="shared" si="3"/>
        <v>-399</v>
      </c>
      <c r="E22" s="232">
        <v>1251</v>
      </c>
      <c r="F22" s="233">
        <f t="shared" si="2"/>
        <v>-21.172022684310022</v>
      </c>
    </row>
    <row r="23" spans="1:6" ht="19.5" customHeight="1">
      <c r="A23" s="232" t="s">
        <v>27</v>
      </c>
      <c r="B23" s="89">
        <v>4254</v>
      </c>
      <c r="C23" s="235">
        <v>2000</v>
      </c>
      <c r="D23" s="232">
        <f t="shared" si="3"/>
        <v>3195</v>
      </c>
      <c r="E23" s="232">
        <v>5195</v>
      </c>
      <c r="F23" s="233">
        <f t="shared" si="2"/>
        <v>22.120357310766337</v>
      </c>
    </row>
    <row r="24" spans="1:6" ht="19.5" customHeight="1">
      <c r="A24" s="232" t="s">
        <v>28</v>
      </c>
      <c r="B24" s="89">
        <v>204</v>
      </c>
      <c r="C24" s="235">
        <v>130</v>
      </c>
      <c r="D24" s="232">
        <f t="shared" si="3"/>
        <v>-60</v>
      </c>
      <c r="E24" s="232">
        <v>70</v>
      </c>
      <c r="F24" s="233">
        <f t="shared" si="2"/>
        <v>-65.68627450980392</v>
      </c>
    </row>
    <row r="25" spans="1:6" ht="19.5" customHeight="1">
      <c r="A25" s="232" t="s">
        <v>29</v>
      </c>
      <c r="B25" s="89">
        <v>27</v>
      </c>
      <c r="C25" s="235">
        <v>30</v>
      </c>
      <c r="D25" s="232">
        <f t="shared" si="3"/>
        <v>-27</v>
      </c>
      <c r="E25" s="232">
        <v>3</v>
      </c>
      <c r="F25" s="233">
        <f t="shared" si="2"/>
        <v>-88.88888888888889</v>
      </c>
    </row>
    <row r="26" spans="1:6" ht="19.5" customHeight="1">
      <c r="A26" s="232"/>
      <c r="B26" s="232"/>
      <c r="C26" s="232"/>
      <c r="D26" s="232"/>
      <c r="E26" s="232"/>
      <c r="F26" s="233"/>
    </row>
    <row r="27" spans="1:6" ht="19.5" customHeight="1">
      <c r="A27" s="227" t="s">
        <v>30</v>
      </c>
      <c r="B27" s="232">
        <f>B4+B19</f>
        <v>19617</v>
      </c>
      <c r="C27" s="232">
        <f>SUM(C19+C4)</f>
        <v>20795</v>
      </c>
      <c r="D27" s="232">
        <f>SUM(D19+D4)</f>
        <v>1303</v>
      </c>
      <c r="E27" s="232">
        <f>SUM(E19+E4)</f>
        <v>22098</v>
      </c>
      <c r="F27" s="233">
        <f>IF(B27=0,,SUM(E27/B27*100)-100)</f>
        <v>12.647193760513844</v>
      </c>
    </row>
    <row r="28" spans="1:6" ht="24" customHeight="1">
      <c r="A28" s="236"/>
      <c r="B28" s="237"/>
      <c r="C28" s="237"/>
      <c r="D28" s="237"/>
      <c r="E28" s="237"/>
      <c r="F28" s="237"/>
    </row>
  </sheetData>
  <sheetProtection sort="0"/>
  <mergeCells count="2">
    <mergeCell ref="A1:F1"/>
    <mergeCell ref="A28:F28"/>
  </mergeCells>
  <printOptions horizontalCentered="1"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Zeros="0" tabSelected="1" workbookViewId="0" topLeftCell="A1">
      <pane ySplit="4" topLeftCell="A64" activePane="bottomLeft" state="frozen"/>
      <selection pane="bottomLeft" activeCell="G78" sqref="G78"/>
    </sheetView>
  </sheetViews>
  <sheetFormatPr defaultColWidth="9.00390625" defaultRowHeight="14.25"/>
  <cols>
    <col min="1" max="1" width="38.25390625" style="27" customWidth="1"/>
    <col min="2" max="2" width="10.625" style="27" customWidth="1"/>
    <col min="3" max="3" width="10.25390625" style="27" customWidth="1"/>
    <col min="4" max="4" width="9.625" style="27" customWidth="1"/>
    <col min="5" max="5" width="10.625" style="27" customWidth="1"/>
    <col min="6" max="6" width="32.125" style="27" customWidth="1"/>
    <col min="7" max="7" width="11.875" style="27" customWidth="1"/>
    <col min="8" max="8" width="10.75390625" style="27" customWidth="1"/>
    <col min="9" max="9" width="9.50390625" style="27" customWidth="1"/>
    <col min="10" max="10" width="10.375" style="27" customWidth="1"/>
    <col min="11" max="12" width="9.00390625" style="27" customWidth="1"/>
    <col min="13" max="15" width="9.00390625" style="27" hidden="1" customWidth="1"/>
    <col min="16" max="16384" width="9.00390625" style="27" customWidth="1"/>
  </cols>
  <sheetData>
    <row r="1" spans="1:10" ht="24.75" customHeight="1">
      <c r="A1" s="241" t="s">
        <v>31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7.25" customHeight="1">
      <c r="A2" s="184"/>
      <c r="B2" s="184"/>
      <c r="C2" s="185"/>
      <c r="D2" s="185"/>
      <c r="E2" s="185"/>
      <c r="F2" s="185"/>
      <c r="G2" s="185"/>
      <c r="H2" s="186" t="s">
        <v>1</v>
      </c>
      <c r="I2" s="186"/>
      <c r="J2" s="186"/>
    </row>
    <row r="3" spans="1:10" ht="18" customHeight="1">
      <c r="A3" s="187" t="s">
        <v>32</v>
      </c>
      <c r="B3" s="188"/>
      <c r="C3" s="188"/>
      <c r="D3" s="188"/>
      <c r="E3" s="188"/>
      <c r="F3" s="189" t="s">
        <v>33</v>
      </c>
      <c r="G3" s="190"/>
      <c r="H3" s="190"/>
      <c r="I3" s="190"/>
      <c r="J3" s="213"/>
    </row>
    <row r="4" spans="1:10" ht="30" customHeight="1">
      <c r="A4" s="191" t="s">
        <v>2</v>
      </c>
      <c r="B4" s="192" t="s">
        <v>3</v>
      </c>
      <c r="C4" s="192" t="s">
        <v>34</v>
      </c>
      <c r="D4" s="192" t="s">
        <v>5</v>
      </c>
      <c r="E4" s="242" t="s">
        <v>6</v>
      </c>
      <c r="F4" s="191" t="s">
        <v>2</v>
      </c>
      <c r="G4" s="192" t="s">
        <v>3</v>
      </c>
      <c r="H4" s="192" t="s">
        <v>34</v>
      </c>
      <c r="I4" s="192" t="s">
        <v>5</v>
      </c>
      <c r="J4" s="242" t="s">
        <v>6</v>
      </c>
    </row>
    <row r="5" spans="1:10" s="68" customFormat="1" ht="26.25" customHeight="1">
      <c r="A5" s="194" t="s">
        <v>35</v>
      </c>
      <c r="B5" s="195">
        <v>19617</v>
      </c>
      <c r="C5" s="195">
        <v>20795</v>
      </c>
      <c r="D5" s="195">
        <f>E5-C5</f>
        <v>1303</v>
      </c>
      <c r="E5" s="195">
        <v>22098</v>
      </c>
      <c r="F5" s="194" t="s">
        <v>36</v>
      </c>
      <c r="G5" s="196">
        <v>286316</v>
      </c>
      <c r="H5" s="196">
        <v>321854</v>
      </c>
      <c r="I5" s="196">
        <f aca="true" t="shared" si="0" ref="I5:I68">J5-H5</f>
        <v>64399</v>
      </c>
      <c r="J5" s="196">
        <v>386253</v>
      </c>
    </row>
    <row r="6" spans="1:10" s="68" customFormat="1" ht="26.25" customHeight="1">
      <c r="A6" s="197" t="s">
        <v>37</v>
      </c>
      <c r="B6" s="195">
        <f>SUM(B7++B66+B69+B73+B77+B76)</f>
        <v>342075</v>
      </c>
      <c r="C6" s="195">
        <f>SUM(C7++C66+C69+C73+C77+C76)</f>
        <v>305492</v>
      </c>
      <c r="D6" s="195">
        <f>SUM(D7++D66+D69+D73+D77+D76)</f>
        <v>63096</v>
      </c>
      <c r="E6" s="195">
        <f>SUM(E7++E66+E69+E73+E77+E76)</f>
        <v>368588</v>
      </c>
      <c r="F6" s="197" t="s">
        <v>38</v>
      </c>
      <c r="G6" s="196">
        <f>SUM(G7+G14+G44+G69+G76)</f>
        <v>21993</v>
      </c>
      <c r="H6" s="196">
        <f>SUM(H7+H14+H44+H69+H76)</f>
        <v>4433</v>
      </c>
      <c r="I6" s="196">
        <f t="shared" si="0"/>
        <v>0</v>
      </c>
      <c r="J6" s="196">
        <f>SUM(J7+J14+J44+J69+J76)</f>
        <v>4433</v>
      </c>
    </row>
    <row r="7" spans="1:10" s="68" customFormat="1" ht="26.25" customHeight="1">
      <c r="A7" s="198" t="s">
        <v>39</v>
      </c>
      <c r="B7" s="195">
        <f>SUM(B8+B14+B44)</f>
        <v>302926</v>
      </c>
      <c r="C7" s="195">
        <f>SUM(C8+C14+C44)</f>
        <v>225930</v>
      </c>
      <c r="D7" s="195">
        <f>SUM(D8+D14+D44)</f>
        <v>64321</v>
      </c>
      <c r="E7" s="195">
        <f>SUM(E8+E14+E44)</f>
        <v>290251</v>
      </c>
      <c r="F7" s="198" t="s">
        <v>40</v>
      </c>
      <c r="G7" s="195">
        <f>SUM(G8:G12)</f>
        <v>3916</v>
      </c>
      <c r="H7" s="195">
        <f>SUM(H8:H12)</f>
        <v>4033</v>
      </c>
      <c r="I7" s="196">
        <f t="shared" si="0"/>
        <v>0</v>
      </c>
      <c r="J7" s="195">
        <f>SUM(J8:J12)</f>
        <v>4033</v>
      </c>
    </row>
    <row r="8" spans="1:10" s="68" customFormat="1" ht="26.25" customHeight="1">
      <c r="A8" s="198" t="s">
        <v>41</v>
      </c>
      <c r="B8" s="195">
        <f>SUM(B9:B13)</f>
        <v>3844</v>
      </c>
      <c r="C8" s="195">
        <f>SUM(C9:C13)</f>
        <v>3844</v>
      </c>
      <c r="D8" s="195">
        <f>SUM(D9:D13)</f>
        <v>0</v>
      </c>
      <c r="E8" s="195">
        <f>SUM(E9:E13)</f>
        <v>3844</v>
      </c>
      <c r="F8" s="199" t="s">
        <v>42</v>
      </c>
      <c r="G8" s="200">
        <v>73</v>
      </c>
      <c r="H8" s="200">
        <v>73</v>
      </c>
      <c r="I8" s="214">
        <f t="shared" si="0"/>
        <v>0</v>
      </c>
      <c r="J8" s="200">
        <v>73</v>
      </c>
    </row>
    <row r="9" spans="1:10" s="68" customFormat="1" ht="26.25" customHeight="1">
      <c r="A9" s="201" t="s">
        <v>43</v>
      </c>
      <c r="B9" s="202">
        <v>404</v>
      </c>
      <c r="C9" s="200">
        <v>404</v>
      </c>
      <c r="D9" s="200">
        <f>E9-C9</f>
        <v>0</v>
      </c>
      <c r="E9" s="200">
        <v>404</v>
      </c>
      <c r="F9" s="199" t="s">
        <v>44</v>
      </c>
      <c r="G9" s="200"/>
      <c r="H9" s="200"/>
      <c r="I9" s="214">
        <f t="shared" si="0"/>
        <v>0</v>
      </c>
      <c r="J9" s="200"/>
    </row>
    <row r="10" spans="1:10" s="68" customFormat="1" ht="26.25" customHeight="1">
      <c r="A10" s="201" t="s">
        <v>45</v>
      </c>
      <c r="B10" s="203">
        <v>197</v>
      </c>
      <c r="C10" s="200">
        <v>197</v>
      </c>
      <c r="D10" s="200">
        <f>E10-C10</f>
        <v>0</v>
      </c>
      <c r="E10" s="200">
        <v>197</v>
      </c>
      <c r="F10" s="199" t="s">
        <v>46</v>
      </c>
      <c r="G10" s="200"/>
      <c r="H10" s="200"/>
      <c r="I10" s="214">
        <f t="shared" si="0"/>
        <v>0</v>
      </c>
      <c r="J10" s="200"/>
    </row>
    <row r="11" spans="1:10" s="68" customFormat="1" ht="26.25" customHeight="1">
      <c r="A11" s="201" t="s">
        <v>47</v>
      </c>
      <c r="B11" s="204">
        <v>657</v>
      </c>
      <c r="C11" s="200">
        <v>657</v>
      </c>
      <c r="D11" s="200">
        <f>E11-C11</f>
        <v>0</v>
      </c>
      <c r="E11" s="200">
        <v>657</v>
      </c>
      <c r="F11" s="199" t="s">
        <v>48</v>
      </c>
      <c r="G11" s="200">
        <v>1602</v>
      </c>
      <c r="H11" s="200">
        <v>1719</v>
      </c>
      <c r="I11" s="214">
        <f t="shared" si="0"/>
        <v>0</v>
      </c>
      <c r="J11" s="200">
        <v>1719</v>
      </c>
    </row>
    <row r="12" spans="1:10" s="68" customFormat="1" ht="26.25" customHeight="1">
      <c r="A12" s="201" t="s">
        <v>49</v>
      </c>
      <c r="B12" s="203">
        <v>1979</v>
      </c>
      <c r="C12" s="200">
        <f>2235-256</f>
        <v>1979</v>
      </c>
      <c r="D12" s="200">
        <f>E12-C12</f>
        <v>0</v>
      </c>
      <c r="E12" s="200">
        <f>2235-256</f>
        <v>1979</v>
      </c>
      <c r="F12" s="243" t="s">
        <v>50</v>
      </c>
      <c r="G12" s="200">
        <v>2241</v>
      </c>
      <c r="H12" s="200">
        <v>2241</v>
      </c>
      <c r="I12" s="214">
        <f t="shared" si="0"/>
        <v>0</v>
      </c>
      <c r="J12" s="200">
        <v>2241</v>
      </c>
    </row>
    <row r="13" spans="1:10" s="68" customFormat="1" ht="26.25" customHeight="1">
      <c r="A13" s="201" t="s">
        <v>51</v>
      </c>
      <c r="B13" s="203">
        <v>607</v>
      </c>
      <c r="C13" s="200">
        <v>607</v>
      </c>
      <c r="D13" s="200">
        <f>E13-C13</f>
        <v>0</v>
      </c>
      <c r="E13" s="200">
        <v>607</v>
      </c>
      <c r="F13" s="199"/>
      <c r="G13" s="200"/>
      <c r="H13" s="200"/>
      <c r="I13" s="214">
        <f t="shared" si="0"/>
        <v>0</v>
      </c>
      <c r="J13" s="200"/>
    </row>
    <row r="14" spans="1:10" s="68" customFormat="1" ht="26.25" customHeight="1">
      <c r="A14" s="244" t="s">
        <v>52</v>
      </c>
      <c r="B14" s="195">
        <f>SUM(B15:B43)</f>
        <v>266899</v>
      </c>
      <c r="C14" s="195">
        <f>SUM(C15:C43)</f>
        <v>207186</v>
      </c>
      <c r="D14" s="195">
        <f>SUM(D15:D43)</f>
        <v>40972</v>
      </c>
      <c r="E14" s="195">
        <f>SUM(E15:E43)</f>
        <v>248158</v>
      </c>
      <c r="F14" s="199" t="s">
        <v>53</v>
      </c>
      <c r="G14" s="200"/>
      <c r="H14" s="200"/>
      <c r="I14" s="214">
        <f t="shared" si="0"/>
        <v>0</v>
      </c>
      <c r="J14" s="200"/>
    </row>
    <row r="15" spans="1:10" s="68" customFormat="1" ht="26.25" customHeight="1">
      <c r="A15" s="201" t="s">
        <v>54</v>
      </c>
      <c r="B15" s="203">
        <v>1764</v>
      </c>
      <c r="C15" s="200">
        <v>1764</v>
      </c>
      <c r="D15" s="200">
        <f aca="true" t="shared" si="1" ref="D15:D43">E15-C15</f>
        <v>0</v>
      </c>
      <c r="E15" s="200">
        <v>1764</v>
      </c>
      <c r="F15" s="199" t="s">
        <v>55</v>
      </c>
      <c r="G15" s="200"/>
      <c r="H15" s="200"/>
      <c r="I15" s="214">
        <f t="shared" si="0"/>
        <v>0</v>
      </c>
      <c r="J15" s="200"/>
    </row>
    <row r="16" spans="1:10" s="68" customFormat="1" ht="26.25" customHeight="1">
      <c r="A16" s="245" t="s">
        <v>56</v>
      </c>
      <c r="B16" s="203">
        <v>54591</v>
      </c>
      <c r="C16" s="200">
        <v>50718</v>
      </c>
      <c r="D16" s="200">
        <f t="shared" si="1"/>
        <v>8133</v>
      </c>
      <c r="E16" s="200">
        <v>58851</v>
      </c>
      <c r="F16" s="199" t="s">
        <v>57</v>
      </c>
      <c r="G16" s="200"/>
      <c r="H16" s="200"/>
      <c r="I16" s="214">
        <f t="shared" si="0"/>
        <v>0</v>
      </c>
      <c r="J16" s="200"/>
    </row>
    <row r="17" spans="1:10" s="68" customFormat="1" ht="26.25" customHeight="1">
      <c r="A17" s="207" t="s">
        <v>58</v>
      </c>
      <c r="B17" s="203">
        <v>15218</v>
      </c>
      <c r="C17" s="200">
        <v>13328</v>
      </c>
      <c r="D17" s="200">
        <f t="shared" si="1"/>
        <v>0</v>
      </c>
      <c r="E17" s="200">
        <v>13328</v>
      </c>
      <c r="F17" s="199" t="s">
        <v>59</v>
      </c>
      <c r="G17" s="200"/>
      <c r="H17" s="200"/>
      <c r="I17" s="214">
        <f t="shared" si="0"/>
        <v>0</v>
      </c>
      <c r="J17" s="200"/>
    </row>
    <row r="18" spans="1:14" s="68" customFormat="1" ht="26.25" customHeight="1">
      <c r="A18" s="246" t="s">
        <v>60</v>
      </c>
      <c r="B18" s="203">
        <v>7460</v>
      </c>
      <c r="C18" s="200">
        <v>671</v>
      </c>
      <c r="D18" s="200">
        <f t="shared" si="1"/>
        <v>6498</v>
      </c>
      <c r="E18" s="200">
        <v>7169</v>
      </c>
      <c r="F18" s="199" t="s">
        <v>61</v>
      </c>
      <c r="G18" s="200"/>
      <c r="H18" s="200"/>
      <c r="I18" s="214">
        <f t="shared" si="0"/>
        <v>0</v>
      </c>
      <c r="J18" s="200"/>
      <c r="M18" s="68">
        <v>9182</v>
      </c>
      <c r="N18" s="215" t="s">
        <v>62</v>
      </c>
    </row>
    <row r="19" spans="1:10" s="68" customFormat="1" ht="26.25" customHeight="1">
      <c r="A19" s="245" t="s">
        <v>63</v>
      </c>
      <c r="B19" s="200"/>
      <c r="C19" s="200"/>
      <c r="D19" s="200">
        <f t="shared" si="1"/>
        <v>0</v>
      </c>
      <c r="E19" s="200"/>
      <c r="F19" s="199" t="s">
        <v>64</v>
      </c>
      <c r="G19" s="200"/>
      <c r="H19" s="200"/>
      <c r="I19" s="214">
        <f t="shared" si="0"/>
        <v>0</v>
      </c>
      <c r="J19" s="200"/>
    </row>
    <row r="20" spans="1:10" s="68" customFormat="1" ht="26.25" customHeight="1">
      <c r="A20" s="207" t="s">
        <v>65</v>
      </c>
      <c r="B20" s="200"/>
      <c r="C20" s="200"/>
      <c r="D20" s="200">
        <f t="shared" si="1"/>
        <v>0</v>
      </c>
      <c r="E20" s="200"/>
      <c r="F20" s="199" t="s">
        <v>66</v>
      </c>
      <c r="G20" s="200"/>
      <c r="H20" s="200"/>
      <c r="I20" s="214">
        <f t="shared" si="0"/>
        <v>0</v>
      </c>
      <c r="J20" s="200"/>
    </row>
    <row r="21" spans="1:10" s="68" customFormat="1" ht="26.25" customHeight="1">
      <c r="A21" s="207" t="s">
        <v>67</v>
      </c>
      <c r="B21" s="203">
        <v>786</v>
      </c>
      <c r="C21" s="200"/>
      <c r="D21" s="200">
        <f t="shared" si="1"/>
        <v>883</v>
      </c>
      <c r="E21" s="200">
        <v>883</v>
      </c>
      <c r="F21" s="199" t="s">
        <v>68</v>
      </c>
      <c r="G21" s="200"/>
      <c r="H21" s="200"/>
      <c r="I21" s="214">
        <f t="shared" si="0"/>
        <v>0</v>
      </c>
      <c r="J21" s="200"/>
    </row>
    <row r="22" spans="1:14" s="68" customFormat="1" ht="26.25" customHeight="1">
      <c r="A22" s="207" t="s">
        <v>69</v>
      </c>
      <c r="B22" s="203">
        <v>8669</v>
      </c>
      <c r="C22" s="209">
        <v>7735</v>
      </c>
      <c r="D22" s="200">
        <f t="shared" si="1"/>
        <v>1027</v>
      </c>
      <c r="E22" s="209">
        <v>8762</v>
      </c>
      <c r="F22" s="199" t="s">
        <v>70</v>
      </c>
      <c r="G22" s="200"/>
      <c r="H22" s="200"/>
      <c r="I22" s="214">
        <f t="shared" si="0"/>
        <v>0</v>
      </c>
      <c r="J22" s="200"/>
      <c r="N22" s="68">
        <v>4478</v>
      </c>
    </row>
    <row r="23" spans="1:10" s="68" customFormat="1" ht="26.25" customHeight="1">
      <c r="A23" s="207" t="s">
        <v>71</v>
      </c>
      <c r="B23" s="203">
        <v>12505</v>
      </c>
      <c r="C23" s="209">
        <v>12505</v>
      </c>
      <c r="D23" s="200">
        <f t="shared" si="1"/>
        <v>1687</v>
      </c>
      <c r="E23" s="209">
        <v>14192</v>
      </c>
      <c r="F23" s="210" t="s">
        <v>72</v>
      </c>
      <c r="G23" s="200"/>
      <c r="H23" s="200"/>
      <c r="I23" s="214">
        <f t="shared" si="0"/>
        <v>0</v>
      </c>
      <c r="J23" s="200"/>
    </row>
    <row r="24" spans="1:10" s="68" customFormat="1" ht="26.25" customHeight="1">
      <c r="A24" s="247" t="s">
        <v>73</v>
      </c>
      <c r="B24" s="203">
        <v>880</v>
      </c>
      <c r="C24" s="209">
        <v>792</v>
      </c>
      <c r="D24" s="200">
        <f t="shared" si="1"/>
        <v>182</v>
      </c>
      <c r="E24" s="209">
        <v>974</v>
      </c>
      <c r="F24" s="199" t="s">
        <v>74</v>
      </c>
      <c r="G24" s="200"/>
      <c r="H24" s="200"/>
      <c r="I24" s="214">
        <f t="shared" si="0"/>
        <v>0</v>
      </c>
      <c r="J24" s="200"/>
    </row>
    <row r="25" spans="1:15" s="68" customFormat="1" ht="26.25" customHeight="1">
      <c r="A25" s="207" t="s">
        <v>75</v>
      </c>
      <c r="B25" s="203">
        <v>10973</v>
      </c>
      <c r="C25" s="209">
        <v>10837</v>
      </c>
      <c r="D25" s="200">
        <f t="shared" si="1"/>
        <v>705</v>
      </c>
      <c r="E25" s="209">
        <v>11542</v>
      </c>
      <c r="F25" s="199" t="s">
        <v>76</v>
      </c>
      <c r="G25" s="200"/>
      <c r="H25" s="200"/>
      <c r="I25" s="214">
        <f t="shared" si="0"/>
        <v>0</v>
      </c>
      <c r="J25" s="200"/>
      <c r="N25" s="68">
        <v>89</v>
      </c>
      <c r="O25" s="215" t="s">
        <v>77</v>
      </c>
    </row>
    <row r="26" spans="1:15" s="68" customFormat="1" ht="26.25" customHeight="1">
      <c r="A26" s="247" t="s">
        <v>78</v>
      </c>
      <c r="B26" s="203">
        <v>48571</v>
      </c>
      <c r="C26" s="200">
        <v>39941</v>
      </c>
      <c r="D26" s="200">
        <f t="shared" si="1"/>
        <v>21798</v>
      </c>
      <c r="E26" s="200">
        <v>61739</v>
      </c>
      <c r="F26" s="199" t="s">
        <v>79</v>
      </c>
      <c r="G26" s="200"/>
      <c r="H26" s="200"/>
      <c r="I26" s="214">
        <f t="shared" si="0"/>
        <v>0</v>
      </c>
      <c r="J26" s="200"/>
      <c r="N26" s="68">
        <v>1546</v>
      </c>
      <c r="O26" s="215" t="s">
        <v>80</v>
      </c>
    </row>
    <row r="27" spans="1:10" s="68" customFormat="1" ht="26.25" customHeight="1">
      <c r="A27" s="207" t="s">
        <v>81</v>
      </c>
      <c r="B27" s="200"/>
      <c r="C27" s="200"/>
      <c r="D27" s="200">
        <f t="shared" si="1"/>
        <v>0</v>
      </c>
      <c r="E27" s="200"/>
      <c r="F27" s="199" t="s">
        <v>82</v>
      </c>
      <c r="G27" s="200"/>
      <c r="H27" s="200"/>
      <c r="I27" s="214">
        <f t="shared" si="0"/>
        <v>0</v>
      </c>
      <c r="J27" s="200"/>
    </row>
    <row r="28" spans="1:10" s="68" customFormat="1" ht="26.25" customHeight="1">
      <c r="A28" s="207" t="s">
        <v>83</v>
      </c>
      <c r="B28" s="203">
        <v>1577</v>
      </c>
      <c r="C28" s="200">
        <v>124</v>
      </c>
      <c r="D28" s="200">
        <f t="shared" si="1"/>
        <v>2137</v>
      </c>
      <c r="E28" s="200">
        <v>2261</v>
      </c>
      <c r="F28" s="199" t="s">
        <v>84</v>
      </c>
      <c r="G28" s="200"/>
      <c r="H28" s="200"/>
      <c r="I28" s="214">
        <f t="shared" si="0"/>
        <v>0</v>
      </c>
      <c r="J28" s="200"/>
    </row>
    <row r="29" spans="1:10" s="68" customFormat="1" ht="26.25" customHeight="1">
      <c r="A29" s="207" t="s">
        <v>85</v>
      </c>
      <c r="B29" s="203">
        <v>23313</v>
      </c>
      <c r="C29" s="200">
        <v>17541</v>
      </c>
      <c r="D29" s="200">
        <f t="shared" si="1"/>
        <v>1806</v>
      </c>
      <c r="E29" s="200">
        <v>19347</v>
      </c>
      <c r="F29" s="199" t="s">
        <v>86</v>
      </c>
      <c r="G29" s="200"/>
      <c r="H29" s="200"/>
      <c r="I29" s="214">
        <f t="shared" si="0"/>
        <v>0</v>
      </c>
      <c r="J29" s="200"/>
    </row>
    <row r="30" spans="1:10" s="68" customFormat="1" ht="26.25" customHeight="1">
      <c r="A30" s="247" t="s">
        <v>87</v>
      </c>
      <c r="B30" s="203">
        <v>15</v>
      </c>
      <c r="C30" s="200"/>
      <c r="D30" s="200">
        <f t="shared" si="1"/>
        <v>15</v>
      </c>
      <c r="E30" s="200">
        <v>15</v>
      </c>
      <c r="F30" s="207" t="s">
        <v>88</v>
      </c>
      <c r="G30" s="200"/>
      <c r="H30" s="200"/>
      <c r="I30" s="214">
        <f t="shared" si="0"/>
        <v>0</v>
      </c>
      <c r="J30" s="200"/>
    </row>
    <row r="31" spans="1:10" s="68" customFormat="1" ht="26.25" customHeight="1">
      <c r="A31" s="207" t="s">
        <v>89</v>
      </c>
      <c r="B31" s="203">
        <v>559</v>
      </c>
      <c r="C31" s="200">
        <v>510</v>
      </c>
      <c r="D31" s="200">
        <f t="shared" si="1"/>
        <v>153</v>
      </c>
      <c r="E31" s="200">
        <v>663</v>
      </c>
      <c r="F31" s="207" t="s">
        <v>90</v>
      </c>
      <c r="G31" s="200"/>
      <c r="H31" s="200"/>
      <c r="I31" s="214">
        <f t="shared" si="0"/>
        <v>0</v>
      </c>
      <c r="J31" s="200"/>
    </row>
    <row r="32" spans="1:10" s="68" customFormat="1" ht="26.25" customHeight="1">
      <c r="A32" s="207" t="s">
        <v>91</v>
      </c>
      <c r="B32" s="203">
        <v>29440</v>
      </c>
      <c r="C32" s="200">
        <v>24813</v>
      </c>
      <c r="D32" s="200">
        <f t="shared" si="1"/>
        <v>2561</v>
      </c>
      <c r="E32" s="200">
        <v>27374</v>
      </c>
      <c r="F32" s="207" t="s">
        <v>92</v>
      </c>
      <c r="G32" s="200"/>
      <c r="H32" s="200"/>
      <c r="I32" s="214">
        <f t="shared" si="0"/>
        <v>0</v>
      </c>
      <c r="J32" s="200"/>
    </row>
    <row r="33" spans="1:10" s="68" customFormat="1" ht="26.25" customHeight="1">
      <c r="A33" s="207" t="s">
        <v>93</v>
      </c>
      <c r="B33" s="203">
        <v>7339</v>
      </c>
      <c r="C33" s="200">
        <v>2992</v>
      </c>
      <c r="D33" s="200">
        <f t="shared" si="1"/>
        <v>4544</v>
      </c>
      <c r="E33" s="200">
        <v>7536</v>
      </c>
      <c r="F33" s="210" t="s">
        <v>94</v>
      </c>
      <c r="G33" s="200"/>
      <c r="H33" s="200"/>
      <c r="I33" s="214">
        <f t="shared" si="0"/>
        <v>0</v>
      </c>
      <c r="J33" s="200"/>
    </row>
    <row r="34" spans="1:10" s="68" customFormat="1" ht="26.25" customHeight="1">
      <c r="A34" s="247" t="s">
        <v>95</v>
      </c>
      <c r="B34" s="203">
        <v>1182</v>
      </c>
      <c r="C34" s="200">
        <v>1160</v>
      </c>
      <c r="D34" s="200">
        <f t="shared" si="1"/>
        <v>58</v>
      </c>
      <c r="E34" s="200">
        <v>1218</v>
      </c>
      <c r="F34" s="207" t="s">
        <v>96</v>
      </c>
      <c r="G34" s="200"/>
      <c r="H34" s="200"/>
      <c r="I34" s="214">
        <f t="shared" si="0"/>
        <v>0</v>
      </c>
      <c r="J34" s="200"/>
    </row>
    <row r="35" spans="1:10" s="68" customFormat="1" ht="26.25" customHeight="1">
      <c r="A35" s="247" t="s">
        <v>97</v>
      </c>
      <c r="B35" s="203">
        <v>26539</v>
      </c>
      <c r="C35" s="200">
        <v>5213</v>
      </c>
      <c r="D35" s="200">
        <f t="shared" si="1"/>
        <v>1208</v>
      </c>
      <c r="E35" s="200">
        <v>6421</v>
      </c>
      <c r="F35" s="207" t="s">
        <v>98</v>
      </c>
      <c r="G35" s="200"/>
      <c r="H35" s="200"/>
      <c r="I35" s="214">
        <f t="shared" si="0"/>
        <v>0</v>
      </c>
      <c r="J35" s="200"/>
    </row>
    <row r="36" spans="1:10" s="68" customFormat="1" ht="26.25" customHeight="1">
      <c r="A36" s="247" t="s">
        <v>99</v>
      </c>
      <c r="B36" s="203">
        <v>2240</v>
      </c>
      <c r="C36" s="200">
        <v>932</v>
      </c>
      <c r="D36" s="200">
        <f t="shared" si="1"/>
        <v>-312</v>
      </c>
      <c r="E36" s="200">
        <v>620</v>
      </c>
      <c r="F36" s="207" t="s">
        <v>100</v>
      </c>
      <c r="G36" s="200"/>
      <c r="H36" s="200"/>
      <c r="I36" s="214">
        <f t="shared" si="0"/>
        <v>0</v>
      </c>
      <c r="J36" s="200"/>
    </row>
    <row r="37" spans="1:10" s="68" customFormat="1" ht="26.25" customHeight="1">
      <c r="A37" s="207" t="s">
        <v>101</v>
      </c>
      <c r="B37" s="203">
        <v>267</v>
      </c>
      <c r="C37" s="200">
        <v>138</v>
      </c>
      <c r="D37" s="200">
        <f t="shared" si="1"/>
        <v>403</v>
      </c>
      <c r="E37" s="200">
        <v>541</v>
      </c>
      <c r="F37" s="207" t="s">
        <v>102</v>
      </c>
      <c r="G37" s="200"/>
      <c r="H37" s="200"/>
      <c r="I37" s="214">
        <f t="shared" si="0"/>
        <v>0</v>
      </c>
      <c r="J37" s="200"/>
    </row>
    <row r="38" spans="1:10" s="68" customFormat="1" ht="26.25" customHeight="1">
      <c r="A38" s="247" t="s">
        <v>103</v>
      </c>
      <c r="B38" s="203">
        <v>821</v>
      </c>
      <c r="C38" s="200"/>
      <c r="D38" s="200">
        <f t="shared" si="1"/>
        <v>0</v>
      </c>
      <c r="E38" s="200"/>
      <c r="F38" s="199" t="s">
        <v>104</v>
      </c>
      <c r="G38" s="200"/>
      <c r="H38" s="200"/>
      <c r="I38" s="214">
        <f t="shared" si="0"/>
        <v>0</v>
      </c>
      <c r="J38" s="200"/>
    </row>
    <row r="39" spans="1:10" s="68" customFormat="1" ht="26.25" customHeight="1">
      <c r="A39" s="247" t="s">
        <v>105</v>
      </c>
      <c r="B39" s="200"/>
      <c r="C39" s="200"/>
      <c r="D39" s="200">
        <f t="shared" si="1"/>
        <v>0</v>
      </c>
      <c r="E39" s="200"/>
      <c r="F39" s="199"/>
      <c r="G39" s="200"/>
      <c r="H39" s="200"/>
      <c r="I39" s="214">
        <f t="shared" si="0"/>
        <v>0</v>
      </c>
      <c r="J39" s="200"/>
    </row>
    <row r="40" spans="1:10" s="68" customFormat="1" ht="26.25" customHeight="1">
      <c r="A40" s="247" t="s">
        <v>106</v>
      </c>
      <c r="B40" s="203">
        <v>1165</v>
      </c>
      <c r="C40" s="200"/>
      <c r="D40" s="200">
        <f t="shared" si="1"/>
        <v>16</v>
      </c>
      <c r="E40" s="200">
        <v>16</v>
      </c>
      <c r="F40" s="199"/>
      <c r="G40" s="200"/>
      <c r="H40" s="200"/>
      <c r="I40" s="214">
        <f t="shared" si="0"/>
        <v>0</v>
      </c>
      <c r="J40" s="200"/>
    </row>
    <row r="41" spans="1:10" s="68" customFormat="1" ht="26.25" customHeight="1">
      <c r="A41" s="247" t="s">
        <v>107</v>
      </c>
      <c r="B41" s="203">
        <v>1083</v>
      </c>
      <c r="C41" s="200"/>
      <c r="D41" s="200">
        <f t="shared" si="1"/>
        <v>971</v>
      </c>
      <c r="E41" s="200">
        <v>971</v>
      </c>
      <c r="F41" s="199"/>
      <c r="G41" s="200"/>
      <c r="H41" s="200"/>
      <c r="I41" s="214">
        <f t="shared" si="0"/>
        <v>0</v>
      </c>
      <c r="J41" s="200"/>
    </row>
    <row r="42" spans="1:10" s="68" customFormat="1" ht="26.25" customHeight="1">
      <c r="A42" s="247" t="s">
        <v>108</v>
      </c>
      <c r="B42" s="203">
        <v>8972</v>
      </c>
      <c r="C42" s="200"/>
      <c r="D42" s="200">
        <f t="shared" si="1"/>
        <v>949</v>
      </c>
      <c r="E42" s="200">
        <v>949</v>
      </c>
      <c r="F42" s="199"/>
      <c r="G42" s="200"/>
      <c r="H42" s="200"/>
      <c r="I42" s="214">
        <f t="shared" si="0"/>
        <v>0</v>
      </c>
      <c r="J42" s="200"/>
    </row>
    <row r="43" spans="1:10" s="68" customFormat="1" ht="26.25" customHeight="1">
      <c r="A43" s="207" t="s">
        <v>109</v>
      </c>
      <c r="B43" s="203">
        <v>970</v>
      </c>
      <c r="C43" s="200">
        <f>472+10000+5000</f>
        <v>15472</v>
      </c>
      <c r="D43" s="200">
        <f t="shared" si="1"/>
        <v>-14450</v>
      </c>
      <c r="E43" s="200">
        <v>1022</v>
      </c>
      <c r="F43" s="199"/>
      <c r="G43" s="200"/>
      <c r="H43" s="200"/>
      <c r="I43" s="214">
        <f t="shared" si="0"/>
        <v>0</v>
      </c>
      <c r="J43" s="200"/>
    </row>
    <row r="44" spans="1:10" s="68" customFormat="1" ht="26.25" customHeight="1">
      <c r="A44" s="212" t="s">
        <v>110</v>
      </c>
      <c r="B44" s="195">
        <f>SUM(B45:B65)</f>
        <v>32183</v>
      </c>
      <c r="C44" s="195">
        <f>SUM(C45:C65)</f>
        <v>14900</v>
      </c>
      <c r="D44" s="195">
        <f>SUM(D45:D65)</f>
        <v>23349</v>
      </c>
      <c r="E44" s="195">
        <f>SUM(E45:E65)</f>
        <v>38249</v>
      </c>
      <c r="F44" s="199" t="s">
        <v>111</v>
      </c>
      <c r="G44" s="200"/>
      <c r="H44" s="200"/>
      <c r="I44" s="214">
        <f t="shared" si="0"/>
        <v>0</v>
      </c>
      <c r="J44" s="200"/>
    </row>
    <row r="45" spans="1:10" s="68" customFormat="1" ht="26.25" customHeight="1">
      <c r="A45" s="207" t="s">
        <v>112</v>
      </c>
      <c r="B45" s="203">
        <v>899</v>
      </c>
      <c r="C45" s="200">
        <v>20</v>
      </c>
      <c r="D45" s="200">
        <f aca="true" t="shared" si="2" ref="D45:D79">E45-C45</f>
        <v>246</v>
      </c>
      <c r="E45" s="200">
        <v>266</v>
      </c>
      <c r="F45" s="199" t="s">
        <v>112</v>
      </c>
      <c r="G45" s="200"/>
      <c r="H45" s="200"/>
      <c r="I45" s="214">
        <f t="shared" si="0"/>
        <v>0</v>
      </c>
      <c r="J45" s="200"/>
    </row>
    <row r="46" spans="1:10" s="68" customFormat="1" ht="26.25" customHeight="1">
      <c r="A46" s="207" t="s">
        <v>113</v>
      </c>
      <c r="B46" s="203">
        <v>0</v>
      </c>
      <c r="C46" s="200"/>
      <c r="D46" s="200">
        <f t="shared" si="2"/>
        <v>0</v>
      </c>
      <c r="E46" s="200"/>
      <c r="F46" s="199" t="s">
        <v>113</v>
      </c>
      <c r="G46" s="200"/>
      <c r="H46" s="200"/>
      <c r="I46" s="214">
        <f t="shared" si="0"/>
        <v>0</v>
      </c>
      <c r="J46" s="200"/>
    </row>
    <row r="47" spans="1:10" s="68" customFormat="1" ht="26.25" customHeight="1">
      <c r="A47" s="207" t="s">
        <v>114</v>
      </c>
      <c r="B47" s="203">
        <v>0</v>
      </c>
      <c r="C47" s="200"/>
      <c r="D47" s="200">
        <f t="shared" si="2"/>
        <v>0</v>
      </c>
      <c r="E47" s="200"/>
      <c r="F47" s="199" t="s">
        <v>114</v>
      </c>
      <c r="G47" s="200"/>
      <c r="H47" s="200"/>
      <c r="I47" s="214">
        <f t="shared" si="0"/>
        <v>0</v>
      </c>
      <c r="J47" s="200"/>
    </row>
    <row r="48" spans="1:10" s="68" customFormat="1" ht="26.25" customHeight="1">
      <c r="A48" s="207" t="s">
        <v>115</v>
      </c>
      <c r="B48" s="203">
        <v>0</v>
      </c>
      <c r="C48" s="200"/>
      <c r="D48" s="200">
        <f t="shared" si="2"/>
        <v>0</v>
      </c>
      <c r="E48" s="200"/>
      <c r="F48" s="199" t="s">
        <v>115</v>
      </c>
      <c r="G48" s="200"/>
      <c r="H48" s="200"/>
      <c r="I48" s="214">
        <f t="shared" si="0"/>
        <v>0</v>
      </c>
      <c r="J48" s="200"/>
    </row>
    <row r="49" spans="1:10" s="68" customFormat="1" ht="26.25" customHeight="1">
      <c r="A49" s="207" t="s">
        <v>116</v>
      </c>
      <c r="B49" s="203">
        <v>1000</v>
      </c>
      <c r="C49" s="209"/>
      <c r="D49" s="200">
        <f t="shared" si="2"/>
        <v>1632</v>
      </c>
      <c r="E49" s="209">
        <v>1632</v>
      </c>
      <c r="F49" s="199" t="s">
        <v>116</v>
      </c>
      <c r="G49" s="200"/>
      <c r="H49" s="200"/>
      <c r="I49" s="214">
        <f t="shared" si="0"/>
        <v>0</v>
      </c>
      <c r="J49" s="200"/>
    </row>
    <row r="50" spans="1:10" s="68" customFormat="1" ht="26.25" customHeight="1">
      <c r="A50" s="207" t="s">
        <v>117</v>
      </c>
      <c r="B50" s="203"/>
      <c r="C50" s="209"/>
      <c r="D50" s="200">
        <f t="shared" si="2"/>
        <v>3210</v>
      </c>
      <c r="E50" s="209">
        <v>3210</v>
      </c>
      <c r="F50" s="199" t="s">
        <v>117</v>
      </c>
      <c r="G50" s="200"/>
      <c r="H50" s="200"/>
      <c r="I50" s="214">
        <f t="shared" si="0"/>
        <v>0</v>
      </c>
      <c r="J50" s="200"/>
    </row>
    <row r="51" spans="1:10" s="68" customFormat="1" ht="26.25" customHeight="1">
      <c r="A51" s="247" t="s">
        <v>118</v>
      </c>
      <c r="B51" s="203">
        <v>644</v>
      </c>
      <c r="C51" s="60"/>
      <c r="D51" s="200">
        <f t="shared" si="2"/>
        <v>100</v>
      </c>
      <c r="E51" s="60">
        <v>100</v>
      </c>
      <c r="F51" s="199" t="s">
        <v>119</v>
      </c>
      <c r="G51" s="200"/>
      <c r="H51" s="200"/>
      <c r="I51" s="214">
        <f t="shared" si="0"/>
        <v>0</v>
      </c>
      <c r="J51" s="200"/>
    </row>
    <row r="52" spans="1:10" s="68" customFormat="1" ht="26.25" customHeight="1">
      <c r="A52" s="207" t="s">
        <v>120</v>
      </c>
      <c r="B52" s="203">
        <v>424</v>
      </c>
      <c r="C52" s="60">
        <v>274</v>
      </c>
      <c r="D52" s="200">
        <f t="shared" si="2"/>
        <v>18</v>
      </c>
      <c r="E52" s="60">
        <v>292</v>
      </c>
      <c r="F52" s="199" t="s">
        <v>120</v>
      </c>
      <c r="G52" s="200"/>
      <c r="H52" s="200"/>
      <c r="I52" s="214">
        <f t="shared" si="0"/>
        <v>0</v>
      </c>
      <c r="J52" s="200"/>
    </row>
    <row r="53" spans="1:10" s="68" customFormat="1" ht="26.25" customHeight="1">
      <c r="A53" s="247" t="s">
        <v>121</v>
      </c>
      <c r="B53" s="203">
        <v>522</v>
      </c>
      <c r="C53" s="60"/>
      <c r="D53" s="200">
        <f t="shared" si="2"/>
        <v>1315</v>
      </c>
      <c r="E53" s="60">
        <v>1315</v>
      </c>
      <c r="F53" s="199" t="s">
        <v>122</v>
      </c>
      <c r="G53" s="200"/>
      <c r="H53" s="200"/>
      <c r="I53" s="214">
        <f t="shared" si="0"/>
        <v>0</v>
      </c>
      <c r="J53" s="200"/>
    </row>
    <row r="54" spans="1:10" s="68" customFormat="1" ht="26.25" customHeight="1">
      <c r="A54" s="207" t="s">
        <v>123</v>
      </c>
      <c r="B54" s="203">
        <v>2415</v>
      </c>
      <c r="C54" s="60">
        <v>240</v>
      </c>
      <c r="D54" s="200">
        <f t="shared" si="2"/>
        <v>1069</v>
      </c>
      <c r="E54" s="60">
        <v>1309</v>
      </c>
      <c r="F54" s="199" t="s">
        <v>123</v>
      </c>
      <c r="G54" s="200"/>
      <c r="H54" s="200"/>
      <c r="I54" s="214">
        <f t="shared" si="0"/>
        <v>0</v>
      </c>
      <c r="J54" s="200"/>
    </row>
    <row r="55" spans="1:10" s="68" customFormat="1" ht="26.25" customHeight="1">
      <c r="A55" s="207" t="s">
        <v>124</v>
      </c>
      <c r="B55" s="203">
        <v>1458</v>
      </c>
      <c r="C55" s="60">
        <v>225</v>
      </c>
      <c r="D55" s="200">
        <f t="shared" si="2"/>
        <v>1532</v>
      </c>
      <c r="E55" s="60">
        <v>1757</v>
      </c>
      <c r="F55" s="199" t="s">
        <v>124</v>
      </c>
      <c r="G55" s="200"/>
      <c r="H55" s="200"/>
      <c r="I55" s="214">
        <f t="shared" si="0"/>
        <v>0</v>
      </c>
      <c r="J55" s="200"/>
    </row>
    <row r="56" spans="1:10" s="68" customFormat="1" ht="26.25" customHeight="1">
      <c r="A56" s="207" t="s">
        <v>125</v>
      </c>
      <c r="B56" s="203">
        <v>15612</v>
      </c>
      <c r="C56" s="60">
        <f>6765+10000-5000</f>
        <v>11765</v>
      </c>
      <c r="D56" s="200">
        <f t="shared" si="2"/>
        <v>12405</v>
      </c>
      <c r="E56" s="60">
        <v>24170</v>
      </c>
      <c r="F56" s="199" t="s">
        <v>125</v>
      </c>
      <c r="G56" s="200"/>
      <c r="H56" s="200"/>
      <c r="I56" s="214">
        <f t="shared" si="0"/>
        <v>0</v>
      </c>
      <c r="J56" s="200"/>
    </row>
    <row r="57" spans="1:10" s="68" customFormat="1" ht="26.25" customHeight="1">
      <c r="A57" s="207" t="s">
        <v>126</v>
      </c>
      <c r="B57" s="203">
        <v>1949</v>
      </c>
      <c r="C57" s="209"/>
      <c r="D57" s="200">
        <f t="shared" si="2"/>
        <v>185</v>
      </c>
      <c r="E57" s="209">
        <v>185</v>
      </c>
      <c r="F57" s="207" t="s">
        <v>126</v>
      </c>
      <c r="G57" s="200"/>
      <c r="H57" s="200"/>
      <c r="I57" s="214">
        <f t="shared" si="0"/>
        <v>0</v>
      </c>
      <c r="J57" s="200"/>
    </row>
    <row r="58" spans="1:10" s="68" customFormat="1" ht="26.25" customHeight="1">
      <c r="A58" s="207" t="s">
        <v>127</v>
      </c>
      <c r="B58" s="203">
        <v>3952</v>
      </c>
      <c r="C58" s="200"/>
      <c r="D58" s="200">
        <f t="shared" si="2"/>
        <v>60</v>
      </c>
      <c r="E58" s="200">
        <v>60</v>
      </c>
      <c r="F58" s="207" t="s">
        <v>127</v>
      </c>
      <c r="G58" s="200"/>
      <c r="H58" s="200"/>
      <c r="I58" s="214">
        <f t="shared" si="0"/>
        <v>0</v>
      </c>
      <c r="J58" s="200"/>
    </row>
    <row r="59" spans="1:10" s="68" customFormat="1" ht="26.25" customHeight="1">
      <c r="A59" s="207" t="s">
        <v>128</v>
      </c>
      <c r="B59" s="203">
        <v>250</v>
      </c>
      <c r="C59" s="200">
        <v>430</v>
      </c>
      <c r="D59" s="200">
        <f t="shared" si="2"/>
        <v>0</v>
      </c>
      <c r="E59" s="200">
        <v>430</v>
      </c>
      <c r="F59" s="207" t="s">
        <v>128</v>
      </c>
      <c r="G59" s="200"/>
      <c r="H59" s="200"/>
      <c r="I59" s="214">
        <f t="shared" si="0"/>
        <v>0</v>
      </c>
      <c r="J59" s="200"/>
    </row>
    <row r="60" spans="1:10" s="68" customFormat="1" ht="26.25" customHeight="1">
      <c r="A60" s="207" t="s">
        <v>129</v>
      </c>
      <c r="B60" s="203">
        <v>1045</v>
      </c>
      <c r="C60" s="200"/>
      <c r="D60" s="200">
        <f t="shared" si="2"/>
        <v>527</v>
      </c>
      <c r="E60" s="200">
        <v>527</v>
      </c>
      <c r="F60" s="207" t="s">
        <v>129</v>
      </c>
      <c r="G60" s="200"/>
      <c r="H60" s="200"/>
      <c r="I60" s="214">
        <f t="shared" si="0"/>
        <v>0</v>
      </c>
      <c r="J60" s="200"/>
    </row>
    <row r="61" spans="1:10" s="68" customFormat="1" ht="26.25" customHeight="1">
      <c r="A61" s="247" t="s">
        <v>130</v>
      </c>
      <c r="B61" s="203">
        <v>247</v>
      </c>
      <c r="C61" s="200">
        <v>206</v>
      </c>
      <c r="D61" s="200">
        <f t="shared" si="2"/>
        <v>745</v>
      </c>
      <c r="E61" s="200">
        <v>951</v>
      </c>
      <c r="F61" s="207" t="s">
        <v>131</v>
      </c>
      <c r="G61" s="200"/>
      <c r="H61" s="200"/>
      <c r="I61" s="214">
        <f t="shared" si="0"/>
        <v>0</v>
      </c>
      <c r="J61" s="200"/>
    </row>
    <row r="62" spans="1:10" s="68" customFormat="1" ht="26.25" customHeight="1">
      <c r="A62" s="207" t="s">
        <v>132</v>
      </c>
      <c r="B62" s="203"/>
      <c r="C62" s="200">
        <v>86</v>
      </c>
      <c r="D62" s="200">
        <f t="shared" si="2"/>
        <v>100</v>
      </c>
      <c r="E62" s="200">
        <v>186</v>
      </c>
      <c r="F62" s="207" t="s">
        <v>132</v>
      </c>
      <c r="G62" s="200"/>
      <c r="H62" s="200"/>
      <c r="I62" s="214">
        <f t="shared" si="0"/>
        <v>0</v>
      </c>
      <c r="J62" s="200"/>
    </row>
    <row r="63" spans="1:10" s="68" customFormat="1" ht="26.25" customHeight="1">
      <c r="A63" s="207" t="s">
        <v>133</v>
      </c>
      <c r="B63" s="200"/>
      <c r="C63" s="200"/>
      <c r="D63" s="200">
        <f t="shared" si="2"/>
        <v>0</v>
      </c>
      <c r="E63" s="200"/>
      <c r="F63" s="207" t="s">
        <v>133</v>
      </c>
      <c r="G63" s="200"/>
      <c r="H63" s="200"/>
      <c r="I63" s="214">
        <f t="shared" si="0"/>
        <v>0</v>
      </c>
      <c r="J63" s="200"/>
    </row>
    <row r="64" spans="1:10" s="68" customFormat="1" ht="26.25" customHeight="1">
      <c r="A64" s="207" t="s">
        <v>134</v>
      </c>
      <c r="B64" s="203">
        <v>1646</v>
      </c>
      <c r="C64" s="200">
        <v>1654</v>
      </c>
      <c r="D64" s="200">
        <f t="shared" si="2"/>
        <v>205</v>
      </c>
      <c r="E64" s="200">
        <v>1859</v>
      </c>
      <c r="F64" s="207" t="s">
        <v>134</v>
      </c>
      <c r="G64" s="200"/>
      <c r="H64" s="200"/>
      <c r="I64" s="214">
        <f t="shared" si="0"/>
        <v>0</v>
      </c>
      <c r="J64" s="200"/>
    </row>
    <row r="65" spans="1:10" s="68" customFormat="1" ht="26.25" customHeight="1">
      <c r="A65" s="248" t="s">
        <v>135</v>
      </c>
      <c r="B65" s="203">
        <v>120</v>
      </c>
      <c r="C65" s="200"/>
      <c r="D65" s="200">
        <f t="shared" si="2"/>
        <v>0</v>
      </c>
      <c r="E65" s="200"/>
      <c r="F65" s="199" t="s">
        <v>135</v>
      </c>
      <c r="G65" s="200"/>
      <c r="H65" s="200"/>
      <c r="I65" s="214">
        <f t="shared" si="0"/>
        <v>0</v>
      </c>
      <c r="J65" s="200"/>
    </row>
    <row r="66" spans="1:10" s="68" customFormat="1" ht="26.25" customHeight="1">
      <c r="A66" s="249" t="s">
        <v>136</v>
      </c>
      <c r="B66" s="195">
        <f>SUM(B67:B68)</f>
        <v>200</v>
      </c>
      <c r="C66" s="195">
        <f>SUM(C67:C68)</f>
        <v>28718</v>
      </c>
      <c r="D66" s="195">
        <f>SUM(D67:D68)</f>
        <v>-18046</v>
      </c>
      <c r="E66" s="195">
        <f>SUM(E67:E68)</f>
        <v>10672</v>
      </c>
      <c r="F66" s="199" t="s">
        <v>137</v>
      </c>
      <c r="G66" s="200"/>
      <c r="H66" s="200"/>
      <c r="I66" s="214">
        <f t="shared" si="0"/>
        <v>0</v>
      </c>
      <c r="J66" s="200"/>
    </row>
    <row r="67" spans="1:10" s="68" customFormat="1" ht="26.25" customHeight="1">
      <c r="A67" s="250" t="s">
        <v>138</v>
      </c>
      <c r="B67" s="200"/>
      <c r="C67" s="200">
        <f>1718+27000</f>
        <v>28718</v>
      </c>
      <c r="D67" s="200">
        <f t="shared" si="2"/>
        <v>-18046</v>
      </c>
      <c r="E67" s="200">
        <v>10672</v>
      </c>
      <c r="F67" s="199"/>
      <c r="G67" s="200"/>
      <c r="H67" s="200"/>
      <c r="I67" s="214">
        <f t="shared" si="0"/>
        <v>0</v>
      </c>
      <c r="J67" s="200"/>
    </row>
    <row r="68" spans="1:10" s="68" customFormat="1" ht="26.25" customHeight="1">
      <c r="A68" s="250" t="s">
        <v>139</v>
      </c>
      <c r="B68" s="89">
        <v>200</v>
      </c>
      <c r="C68" s="200"/>
      <c r="D68" s="200">
        <f t="shared" si="2"/>
        <v>0</v>
      </c>
      <c r="E68" s="200"/>
      <c r="F68" s="199"/>
      <c r="G68" s="200"/>
      <c r="H68" s="200"/>
      <c r="I68" s="214">
        <f t="shared" si="0"/>
        <v>0</v>
      </c>
      <c r="J68" s="200"/>
    </row>
    <row r="69" spans="1:10" s="68" customFormat="1" ht="26.25" customHeight="1">
      <c r="A69" s="244" t="s">
        <v>140</v>
      </c>
      <c r="B69" s="195">
        <f>SUM(B70:B72)</f>
        <v>24728</v>
      </c>
      <c r="C69" s="195">
        <f>SUM(C70:C72)</f>
        <v>0</v>
      </c>
      <c r="D69" s="195">
        <f>SUM(D70:D72)</f>
        <v>12405</v>
      </c>
      <c r="E69" s="195">
        <f>SUM(E70:E72)</f>
        <v>12405</v>
      </c>
      <c r="F69" s="219" t="s">
        <v>141</v>
      </c>
      <c r="G69" s="200">
        <v>16200</v>
      </c>
      <c r="H69" s="200">
        <v>400</v>
      </c>
      <c r="I69" s="214">
        <f aca="true" t="shared" si="3" ref="I69:I78">J69-H69</f>
        <v>0</v>
      </c>
      <c r="J69" s="200">
        <v>400</v>
      </c>
    </row>
    <row r="70" spans="1:10" s="68" customFormat="1" ht="26.25" customHeight="1">
      <c r="A70" s="251" t="s">
        <v>142</v>
      </c>
      <c r="B70" s="200"/>
      <c r="C70" s="200"/>
      <c r="D70" s="200">
        <f t="shared" si="2"/>
        <v>0</v>
      </c>
      <c r="E70" s="200"/>
      <c r="F70" s="250" t="s">
        <v>143</v>
      </c>
      <c r="G70" s="200">
        <v>16200</v>
      </c>
      <c r="H70" s="200">
        <v>400</v>
      </c>
      <c r="I70" s="214">
        <f t="shared" si="3"/>
        <v>0</v>
      </c>
      <c r="J70" s="200">
        <v>400</v>
      </c>
    </row>
    <row r="71" spans="1:10" s="68" customFormat="1" ht="26.25" customHeight="1">
      <c r="A71" s="251" t="s">
        <v>144</v>
      </c>
      <c r="B71" s="200">
        <v>78</v>
      </c>
      <c r="C71" s="200"/>
      <c r="D71" s="200">
        <f t="shared" si="2"/>
        <v>0</v>
      </c>
      <c r="E71" s="200"/>
      <c r="F71" s="199"/>
      <c r="G71" s="200"/>
      <c r="H71" s="200"/>
      <c r="I71" s="214">
        <f t="shared" si="3"/>
        <v>0</v>
      </c>
      <c r="J71" s="200"/>
    </row>
    <row r="72" spans="1:10" s="68" customFormat="1" ht="26.25" customHeight="1">
      <c r="A72" s="251" t="s">
        <v>145</v>
      </c>
      <c r="B72" s="89">
        <v>24650</v>
      </c>
      <c r="C72" s="200"/>
      <c r="D72" s="200">
        <f t="shared" si="2"/>
        <v>12405</v>
      </c>
      <c r="E72" s="200">
        <v>12405</v>
      </c>
      <c r="F72" s="199"/>
      <c r="G72" s="200"/>
      <c r="H72" s="200"/>
      <c r="I72" s="214">
        <f t="shared" si="3"/>
        <v>0</v>
      </c>
      <c r="J72" s="200"/>
    </row>
    <row r="73" spans="1:10" ht="26.25" customHeight="1">
      <c r="A73" s="212" t="s">
        <v>146</v>
      </c>
      <c r="B73" s="195"/>
      <c r="C73" s="195"/>
      <c r="D73" s="195">
        <f t="shared" si="2"/>
        <v>0</v>
      </c>
      <c r="E73" s="195"/>
      <c r="F73" s="199"/>
      <c r="G73" s="200"/>
      <c r="H73" s="200"/>
      <c r="I73" s="214">
        <f t="shared" si="3"/>
        <v>0</v>
      </c>
      <c r="J73" s="200"/>
    </row>
    <row r="74" spans="1:10" ht="26.25" customHeight="1">
      <c r="A74" s="207" t="s">
        <v>147</v>
      </c>
      <c r="B74" s="200"/>
      <c r="C74" s="200"/>
      <c r="D74" s="200">
        <f t="shared" si="2"/>
        <v>0</v>
      </c>
      <c r="E74" s="200"/>
      <c r="F74" s="199"/>
      <c r="G74" s="167"/>
      <c r="H74" s="167"/>
      <c r="I74" s="214">
        <f t="shared" si="3"/>
        <v>0</v>
      </c>
      <c r="J74" s="167"/>
    </row>
    <row r="75" spans="1:10" ht="26.25" customHeight="1">
      <c r="A75" s="200" t="s">
        <v>148</v>
      </c>
      <c r="B75" s="200"/>
      <c r="C75" s="200"/>
      <c r="D75" s="200">
        <f t="shared" si="2"/>
        <v>0</v>
      </c>
      <c r="E75" s="200"/>
      <c r="F75" s="199"/>
      <c r="G75" s="200"/>
      <c r="H75" s="200"/>
      <c r="I75" s="214">
        <f t="shared" si="3"/>
        <v>0</v>
      </c>
      <c r="J75" s="200"/>
    </row>
    <row r="76" spans="1:10" ht="26.25" customHeight="1">
      <c r="A76" s="249" t="s">
        <v>149</v>
      </c>
      <c r="B76" s="195">
        <v>302</v>
      </c>
      <c r="C76" s="195">
        <v>1877</v>
      </c>
      <c r="D76" s="195">
        <f t="shared" si="2"/>
        <v>0</v>
      </c>
      <c r="E76" s="195">
        <v>1877</v>
      </c>
      <c r="F76" s="170" t="s">
        <v>150</v>
      </c>
      <c r="G76" s="200">
        <v>1877</v>
      </c>
      <c r="H76" s="200"/>
      <c r="I76" s="214">
        <f t="shared" si="3"/>
        <v>0</v>
      </c>
      <c r="J76" s="200"/>
    </row>
    <row r="77" spans="1:10" ht="26.25" customHeight="1">
      <c r="A77" s="197" t="s">
        <v>151</v>
      </c>
      <c r="B77" s="129">
        <f>SUM(B78:B79)</f>
        <v>13919</v>
      </c>
      <c r="C77" s="195">
        <f>SUM(C78:C79)</f>
        <v>48967</v>
      </c>
      <c r="D77" s="195">
        <f t="shared" si="2"/>
        <v>4416</v>
      </c>
      <c r="E77" s="195">
        <f>SUM(E78:E79)</f>
        <v>53383</v>
      </c>
      <c r="F77" s="199" t="s">
        <v>152</v>
      </c>
      <c r="G77" s="200">
        <f>G78+G79</f>
        <v>53383</v>
      </c>
      <c r="H77" s="200">
        <f>H78+H79</f>
        <v>0</v>
      </c>
      <c r="I77" s="200">
        <f>I78+I79</f>
        <v>0</v>
      </c>
      <c r="J77" s="200">
        <f>J78+J79</f>
        <v>0</v>
      </c>
    </row>
    <row r="78" spans="1:10" ht="26.25" customHeight="1">
      <c r="A78" s="201" t="s">
        <v>153</v>
      </c>
      <c r="B78" s="200">
        <v>13919</v>
      </c>
      <c r="C78" s="200">
        <v>48967</v>
      </c>
      <c r="D78" s="200">
        <f t="shared" si="2"/>
        <v>4416</v>
      </c>
      <c r="E78" s="200">
        <v>53383</v>
      </c>
      <c r="F78" s="199" t="s">
        <v>154</v>
      </c>
      <c r="G78" s="200">
        <v>53383</v>
      </c>
      <c r="H78" s="200"/>
      <c r="I78" s="214">
        <f t="shared" si="3"/>
        <v>0</v>
      </c>
      <c r="J78" s="200"/>
    </row>
    <row r="79" spans="1:10" ht="26.25" customHeight="1">
      <c r="A79" s="201" t="s">
        <v>155</v>
      </c>
      <c r="B79" s="200"/>
      <c r="C79" s="200"/>
      <c r="D79" s="200">
        <f t="shared" si="2"/>
        <v>0</v>
      </c>
      <c r="E79" s="200"/>
      <c r="F79" s="199" t="s">
        <v>155</v>
      </c>
      <c r="G79" s="200"/>
      <c r="H79" s="200"/>
      <c r="I79" s="214"/>
      <c r="J79" s="200"/>
    </row>
    <row r="80" spans="1:10" ht="26.25" customHeight="1">
      <c r="A80" s="220"/>
      <c r="B80" s="200"/>
      <c r="C80" s="200"/>
      <c r="D80" s="200"/>
      <c r="E80" s="200"/>
      <c r="F80" s="170"/>
      <c r="G80" s="200"/>
      <c r="H80" s="200"/>
      <c r="I80" s="214">
        <f>J80-H80</f>
        <v>0</v>
      </c>
      <c r="J80" s="200"/>
    </row>
    <row r="81" spans="1:10" ht="26.25" customHeight="1">
      <c r="A81" s="221" t="s">
        <v>156</v>
      </c>
      <c r="B81" s="200">
        <f>SUM(B5+B6)</f>
        <v>361692</v>
      </c>
      <c r="C81" s="200">
        <f>SUM(C5+C6)</f>
        <v>326287</v>
      </c>
      <c r="D81" s="200">
        <f>SUM(D5+D6)</f>
        <v>64399</v>
      </c>
      <c r="E81" s="200">
        <f>SUM(E5+E6)</f>
        <v>390686</v>
      </c>
      <c r="F81" s="221" t="s">
        <v>157</v>
      </c>
      <c r="G81" s="214">
        <f>SUM(G5+G6+G73+G77)</f>
        <v>361692</v>
      </c>
      <c r="H81" s="214">
        <f>SUM(H5+H6+H73+H77)</f>
        <v>326287</v>
      </c>
      <c r="I81" s="214">
        <f>J81-H81</f>
        <v>64399</v>
      </c>
      <c r="J81" s="214">
        <f>SUM(J5+J6+J73+J77)</f>
        <v>390686</v>
      </c>
    </row>
  </sheetData>
  <sheetProtection sort="0"/>
  <mergeCells count="4">
    <mergeCell ref="A1:J1"/>
    <mergeCell ref="H2:J2"/>
    <mergeCell ref="A3:C3"/>
    <mergeCell ref="F3:J3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5" fitToWidth="1" horizontalDpi="600" verticalDpi="600" orientation="landscape" paperSize="8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workbookViewId="0" topLeftCell="A1">
      <pane ySplit="3" topLeftCell="A193" activePane="bottomLeft" state="frozen"/>
      <selection pane="bottomLeft" activeCell="C2" sqref="C1:C65536"/>
    </sheetView>
  </sheetViews>
  <sheetFormatPr defaultColWidth="9.00390625" defaultRowHeight="14.25"/>
  <cols>
    <col min="1" max="1" width="30.875" style="161" customWidth="1"/>
    <col min="2" max="2" width="11.25390625" style="161" customWidth="1"/>
    <col min="3" max="3" width="10.75390625" style="161" customWidth="1"/>
    <col min="4" max="4" width="10.50390625" style="161" customWidth="1"/>
    <col min="5" max="6" width="12.50390625" style="161" customWidth="1"/>
    <col min="7" max="16384" width="9.00390625" style="161" customWidth="1"/>
  </cols>
  <sheetData>
    <row r="1" spans="1:6" s="155" customFormat="1" ht="20.25">
      <c r="A1" s="252" t="s">
        <v>158</v>
      </c>
      <c r="B1" s="50"/>
      <c r="C1" s="50"/>
      <c r="D1" s="50"/>
      <c r="E1" s="50"/>
      <c r="F1" s="50"/>
    </row>
    <row r="2" ht="20.25" customHeight="1">
      <c r="F2" s="162" t="s">
        <v>1</v>
      </c>
    </row>
    <row r="3" spans="1:6" s="156" customFormat="1" ht="36" customHeight="1">
      <c r="A3" s="64" t="s">
        <v>2</v>
      </c>
      <c r="B3" s="253" t="s">
        <v>3</v>
      </c>
      <c r="C3" s="253" t="s">
        <v>159</v>
      </c>
      <c r="D3" s="163" t="s">
        <v>5</v>
      </c>
      <c r="E3" s="253" t="s">
        <v>160</v>
      </c>
      <c r="F3" s="163" t="s">
        <v>7</v>
      </c>
    </row>
    <row r="4" spans="1:6" s="157" customFormat="1" ht="19.5" customHeight="1">
      <c r="A4" s="164" t="s">
        <v>161</v>
      </c>
      <c r="B4" s="129">
        <f>SUM(B5:B31)</f>
        <v>21590</v>
      </c>
      <c r="C4" s="129">
        <f>SUM(C5:C31)</f>
        <v>28308</v>
      </c>
      <c r="D4" s="129">
        <f>SUM(D5:D31)</f>
        <v>1135</v>
      </c>
      <c r="E4" s="129">
        <f>SUM(E5:E31)</f>
        <v>29443</v>
      </c>
      <c r="F4" s="165">
        <f>IF(B4=0,,SUM(E4-B4)/B4*100)</f>
        <v>36.37332098193608</v>
      </c>
    </row>
    <row r="5" spans="1:6" s="157" customFormat="1" ht="19.5" customHeight="1">
      <c r="A5" s="166" t="s">
        <v>162</v>
      </c>
      <c r="B5" s="89">
        <v>722</v>
      </c>
      <c r="C5" s="86">
        <v>1124</v>
      </c>
      <c r="D5" s="167">
        <f aca="true" t="shared" si="0" ref="D5:D68">E5-C5</f>
        <v>393</v>
      </c>
      <c r="E5" s="167">
        <v>1517</v>
      </c>
      <c r="F5" s="168">
        <f aca="true" t="shared" si="1" ref="F5:F67">IF(B5=0,,SUM(E5-B5)/B5*100)</f>
        <v>110.11080332409972</v>
      </c>
    </row>
    <row r="6" spans="1:6" s="157" customFormat="1" ht="19.5" customHeight="1">
      <c r="A6" s="166" t="s">
        <v>163</v>
      </c>
      <c r="B6" s="89">
        <v>485</v>
      </c>
      <c r="C6" s="86">
        <v>405</v>
      </c>
      <c r="D6" s="167">
        <f t="shared" si="0"/>
        <v>45</v>
      </c>
      <c r="E6" s="167">
        <v>450</v>
      </c>
      <c r="F6" s="168">
        <f t="shared" si="1"/>
        <v>-7.216494845360824</v>
      </c>
    </row>
    <row r="7" spans="1:6" s="157" customFormat="1" ht="19.5" customHeight="1">
      <c r="A7" s="166" t="s">
        <v>164</v>
      </c>
      <c r="B7" s="89">
        <v>7691</v>
      </c>
      <c r="C7" s="86">
        <v>7864</v>
      </c>
      <c r="D7" s="167">
        <f t="shared" si="0"/>
        <v>2522</v>
      </c>
      <c r="E7" s="167">
        <v>10386</v>
      </c>
      <c r="F7" s="168">
        <f t="shared" si="1"/>
        <v>35.04095696268366</v>
      </c>
    </row>
    <row r="8" spans="1:6" s="157" customFormat="1" ht="19.5" customHeight="1">
      <c r="A8" s="166" t="s">
        <v>165</v>
      </c>
      <c r="B8" s="89">
        <v>910</v>
      </c>
      <c r="C8" s="86">
        <v>363</v>
      </c>
      <c r="D8" s="167">
        <f t="shared" si="0"/>
        <v>330</v>
      </c>
      <c r="E8" s="167">
        <v>693</v>
      </c>
      <c r="F8" s="168">
        <f t="shared" si="1"/>
        <v>-23.846153846153847</v>
      </c>
    </row>
    <row r="9" spans="1:6" s="157" customFormat="1" ht="19.5" customHeight="1">
      <c r="A9" s="169" t="s">
        <v>166</v>
      </c>
      <c r="B9" s="89">
        <v>432</v>
      </c>
      <c r="C9" s="86">
        <v>349</v>
      </c>
      <c r="D9" s="167">
        <f t="shared" si="0"/>
        <v>120</v>
      </c>
      <c r="E9" s="167">
        <v>469</v>
      </c>
      <c r="F9" s="168">
        <f t="shared" si="1"/>
        <v>8.564814814814815</v>
      </c>
    </row>
    <row r="10" spans="1:6" s="157" customFormat="1" ht="19.5" customHeight="1">
      <c r="A10" s="166" t="s">
        <v>167</v>
      </c>
      <c r="B10" s="89">
        <v>2029</v>
      </c>
      <c r="C10" s="86">
        <v>1821</v>
      </c>
      <c r="D10" s="167">
        <f t="shared" si="0"/>
        <v>482</v>
      </c>
      <c r="E10" s="167">
        <v>2303</v>
      </c>
      <c r="F10" s="168">
        <f t="shared" si="1"/>
        <v>13.50418925579103</v>
      </c>
    </row>
    <row r="11" spans="1:6" s="157" customFormat="1" ht="19.5" customHeight="1">
      <c r="A11" s="166" t="s">
        <v>168</v>
      </c>
      <c r="B11" s="89">
        <v>372</v>
      </c>
      <c r="C11" s="86">
        <v>470</v>
      </c>
      <c r="D11" s="167">
        <f t="shared" si="0"/>
        <v>35</v>
      </c>
      <c r="E11" s="167">
        <v>505</v>
      </c>
      <c r="F11" s="168">
        <f t="shared" si="1"/>
        <v>35.752688172043015</v>
      </c>
    </row>
    <row r="12" spans="1:6" s="157" customFormat="1" ht="19.5" customHeight="1">
      <c r="A12" s="169" t="s">
        <v>169</v>
      </c>
      <c r="B12" s="89">
        <v>210</v>
      </c>
      <c r="C12" s="86">
        <v>187</v>
      </c>
      <c r="D12" s="167">
        <f t="shared" si="0"/>
        <v>42</v>
      </c>
      <c r="E12" s="167">
        <v>229</v>
      </c>
      <c r="F12" s="168">
        <f t="shared" si="1"/>
        <v>9.047619047619047</v>
      </c>
    </row>
    <row r="13" spans="1:6" s="157" customFormat="1" ht="19.5" customHeight="1">
      <c r="A13" s="166" t="s">
        <v>170</v>
      </c>
      <c r="B13" s="89"/>
      <c r="C13" s="86"/>
      <c r="D13" s="167">
        <f t="shared" si="0"/>
        <v>0</v>
      </c>
      <c r="E13" s="167">
        <v>0</v>
      </c>
      <c r="F13" s="168">
        <f t="shared" si="1"/>
        <v>0</v>
      </c>
    </row>
    <row r="14" spans="1:6" s="157" customFormat="1" ht="19.5" customHeight="1">
      <c r="A14" s="169" t="s">
        <v>171</v>
      </c>
      <c r="B14" s="89"/>
      <c r="C14" s="86"/>
      <c r="D14" s="167">
        <f t="shared" si="0"/>
        <v>0</v>
      </c>
      <c r="E14" s="167">
        <v>0</v>
      </c>
      <c r="F14" s="168">
        <f t="shared" si="1"/>
        <v>0</v>
      </c>
    </row>
    <row r="15" spans="1:6" s="157" customFormat="1" ht="19.5" customHeight="1">
      <c r="A15" s="86" t="s">
        <v>172</v>
      </c>
      <c r="B15" s="89">
        <v>1431</v>
      </c>
      <c r="C15" s="86">
        <v>1348</v>
      </c>
      <c r="D15" s="167">
        <f t="shared" si="0"/>
        <v>237</v>
      </c>
      <c r="E15" s="167">
        <v>1585</v>
      </c>
      <c r="F15" s="168">
        <f t="shared" si="1"/>
        <v>10.761705101327742</v>
      </c>
    </row>
    <row r="16" spans="1:6" s="157" customFormat="1" ht="19.5" customHeight="1">
      <c r="A16" s="86" t="s">
        <v>173</v>
      </c>
      <c r="B16" s="89">
        <v>297</v>
      </c>
      <c r="C16" s="86">
        <v>117</v>
      </c>
      <c r="D16" s="167">
        <f t="shared" si="0"/>
        <v>19</v>
      </c>
      <c r="E16" s="167">
        <v>136</v>
      </c>
      <c r="F16" s="168">
        <f t="shared" si="1"/>
        <v>-54.20875420875421</v>
      </c>
    </row>
    <row r="17" spans="1:6" s="157" customFormat="1" ht="19.5" customHeight="1">
      <c r="A17" s="169" t="s">
        <v>174</v>
      </c>
      <c r="B17" s="89"/>
      <c r="C17" s="86">
        <v>0</v>
      </c>
      <c r="D17" s="167">
        <f t="shared" si="0"/>
        <v>0</v>
      </c>
      <c r="E17" s="167">
        <v>0</v>
      </c>
      <c r="F17" s="168">
        <f t="shared" si="1"/>
        <v>0</v>
      </c>
    </row>
    <row r="18" spans="1:6" s="157" customFormat="1" ht="19.5" customHeight="1">
      <c r="A18" s="169" t="s">
        <v>175</v>
      </c>
      <c r="B18" s="89">
        <v>124</v>
      </c>
      <c r="C18" s="86">
        <v>34</v>
      </c>
      <c r="D18" s="167">
        <f t="shared" si="0"/>
        <v>78</v>
      </c>
      <c r="E18" s="167">
        <v>112</v>
      </c>
      <c r="F18" s="168">
        <f t="shared" si="1"/>
        <v>-9.67741935483871</v>
      </c>
    </row>
    <row r="19" spans="1:6" s="157" customFormat="1" ht="19.5" customHeight="1">
      <c r="A19" s="166" t="s">
        <v>176</v>
      </c>
      <c r="B19" s="89">
        <v>0</v>
      </c>
      <c r="C19" s="86"/>
      <c r="D19" s="167">
        <f t="shared" si="0"/>
        <v>0</v>
      </c>
      <c r="E19" s="167">
        <v>0</v>
      </c>
      <c r="F19" s="168">
        <f t="shared" si="1"/>
        <v>0</v>
      </c>
    </row>
    <row r="20" spans="1:6" s="157" customFormat="1" ht="19.5" customHeight="1">
      <c r="A20" s="166" t="s">
        <v>177</v>
      </c>
      <c r="B20" s="89">
        <v>74</v>
      </c>
      <c r="C20" s="86">
        <v>90</v>
      </c>
      <c r="D20" s="167">
        <f t="shared" si="0"/>
        <v>4</v>
      </c>
      <c r="E20" s="167">
        <v>94</v>
      </c>
      <c r="F20" s="168">
        <f t="shared" si="1"/>
        <v>27.027027027027028</v>
      </c>
    </row>
    <row r="21" spans="1:6" s="157" customFormat="1" ht="19.5" customHeight="1">
      <c r="A21" s="166" t="s">
        <v>178</v>
      </c>
      <c r="B21" s="89">
        <v>44</v>
      </c>
      <c r="C21" s="86">
        <v>40</v>
      </c>
      <c r="D21" s="167">
        <f t="shared" si="0"/>
        <v>15</v>
      </c>
      <c r="E21" s="167">
        <v>55</v>
      </c>
      <c r="F21" s="168">
        <f t="shared" si="1"/>
        <v>25</v>
      </c>
    </row>
    <row r="22" spans="1:6" s="157" customFormat="1" ht="19.5" customHeight="1">
      <c r="A22" s="166" t="s">
        <v>179</v>
      </c>
      <c r="B22" s="89">
        <v>485</v>
      </c>
      <c r="C22" s="86">
        <v>483</v>
      </c>
      <c r="D22" s="167">
        <f t="shared" si="0"/>
        <v>204</v>
      </c>
      <c r="E22" s="167">
        <v>687</v>
      </c>
      <c r="F22" s="168">
        <f t="shared" si="1"/>
        <v>41.649484536082475</v>
      </c>
    </row>
    <row r="23" spans="1:6" s="157" customFormat="1" ht="19.5" customHeight="1">
      <c r="A23" s="169" t="s">
        <v>180</v>
      </c>
      <c r="B23" s="89">
        <v>565</v>
      </c>
      <c r="C23" s="86">
        <v>507</v>
      </c>
      <c r="D23" s="167">
        <f t="shared" si="0"/>
        <v>85</v>
      </c>
      <c r="E23" s="167">
        <v>592</v>
      </c>
      <c r="F23" s="168">
        <f t="shared" si="1"/>
        <v>4.778761061946903</v>
      </c>
    </row>
    <row r="24" spans="1:6" s="157" customFormat="1" ht="19.5" customHeight="1">
      <c r="A24" s="169" t="s">
        <v>181</v>
      </c>
      <c r="B24" s="89">
        <v>1513</v>
      </c>
      <c r="C24" s="86">
        <v>968</v>
      </c>
      <c r="D24" s="167">
        <f t="shared" si="0"/>
        <v>926</v>
      </c>
      <c r="E24" s="167">
        <v>1894</v>
      </c>
      <c r="F24" s="168">
        <f t="shared" si="1"/>
        <v>25.181758096497024</v>
      </c>
    </row>
    <row r="25" spans="1:6" s="157" customFormat="1" ht="19.5" customHeight="1">
      <c r="A25" s="169" t="s">
        <v>182</v>
      </c>
      <c r="B25" s="89">
        <v>355</v>
      </c>
      <c r="C25" s="86">
        <v>205</v>
      </c>
      <c r="D25" s="167">
        <f t="shared" si="0"/>
        <v>42</v>
      </c>
      <c r="E25" s="167">
        <v>247</v>
      </c>
      <c r="F25" s="168">
        <f t="shared" si="1"/>
        <v>-30.422535211267604</v>
      </c>
    </row>
    <row r="26" spans="1:6" s="157" customFormat="1" ht="19.5" customHeight="1">
      <c r="A26" s="169" t="s">
        <v>183</v>
      </c>
      <c r="B26" s="89">
        <v>264</v>
      </c>
      <c r="C26" s="170">
        <v>239</v>
      </c>
      <c r="D26" s="167">
        <f t="shared" si="0"/>
        <v>51</v>
      </c>
      <c r="E26" s="170">
        <v>290</v>
      </c>
      <c r="F26" s="168">
        <f t="shared" si="1"/>
        <v>9.848484848484848</v>
      </c>
    </row>
    <row r="27" spans="1:6" s="157" customFormat="1" ht="19.5" customHeight="1">
      <c r="A27" s="169" t="s">
        <v>184</v>
      </c>
      <c r="B27" s="89"/>
      <c r="C27" s="171">
        <v>0</v>
      </c>
      <c r="D27" s="167">
        <f t="shared" si="0"/>
        <v>0</v>
      </c>
      <c r="E27" s="170">
        <v>0</v>
      </c>
      <c r="F27" s="168">
        <f t="shared" si="1"/>
        <v>0</v>
      </c>
    </row>
    <row r="28" spans="1:6" s="157" customFormat="1" ht="19.5" customHeight="1">
      <c r="A28" s="169" t="s">
        <v>185</v>
      </c>
      <c r="B28" s="89">
        <v>615</v>
      </c>
      <c r="C28" s="170">
        <v>657</v>
      </c>
      <c r="D28" s="167">
        <f t="shared" si="0"/>
        <v>1</v>
      </c>
      <c r="E28" s="170">
        <v>658</v>
      </c>
      <c r="F28" s="168">
        <f t="shared" si="1"/>
        <v>6.991869918699186</v>
      </c>
    </row>
    <row r="29" spans="1:6" s="157" customFormat="1" ht="19.5" customHeight="1">
      <c r="A29" s="169" t="s">
        <v>186</v>
      </c>
      <c r="B29" s="89">
        <v>30</v>
      </c>
      <c r="C29" s="86">
        <v>0</v>
      </c>
      <c r="D29" s="167">
        <f t="shared" si="0"/>
        <v>0</v>
      </c>
      <c r="E29" s="167">
        <v>0</v>
      </c>
      <c r="F29" s="168">
        <f t="shared" si="1"/>
        <v>-100</v>
      </c>
    </row>
    <row r="30" spans="1:6" s="157" customFormat="1" ht="19.5" customHeight="1">
      <c r="A30" s="169" t="s">
        <v>187</v>
      </c>
      <c r="B30" s="89">
        <v>1417</v>
      </c>
      <c r="C30" s="86">
        <v>1453</v>
      </c>
      <c r="D30" s="167">
        <f t="shared" si="0"/>
        <v>269</v>
      </c>
      <c r="E30" s="167">
        <v>1722</v>
      </c>
      <c r="F30" s="168">
        <f t="shared" si="1"/>
        <v>21.524347212420608</v>
      </c>
    </row>
    <row r="31" spans="1:6" s="157" customFormat="1" ht="19.5" customHeight="1">
      <c r="A31" s="169" t="s">
        <v>188</v>
      </c>
      <c r="B31" s="89">
        <v>1525</v>
      </c>
      <c r="C31" s="86">
        <v>9584</v>
      </c>
      <c r="D31" s="167">
        <f t="shared" si="0"/>
        <v>-4765</v>
      </c>
      <c r="E31" s="167">
        <v>4819</v>
      </c>
      <c r="F31" s="168">
        <f t="shared" si="1"/>
        <v>216</v>
      </c>
    </row>
    <row r="32" spans="1:6" s="158" customFormat="1" ht="19.5" customHeight="1">
      <c r="A32" s="164" t="s">
        <v>189</v>
      </c>
      <c r="B32" s="164">
        <f>SUM(B33:B34)</f>
        <v>0</v>
      </c>
      <c r="C32" s="164">
        <f>SUM(C33:C34)</f>
        <v>0</v>
      </c>
      <c r="D32" s="164">
        <f>SUM(D33:D34)</f>
        <v>0</v>
      </c>
      <c r="E32" s="164">
        <v>0</v>
      </c>
      <c r="F32" s="165">
        <f t="shared" si="1"/>
        <v>0</v>
      </c>
    </row>
    <row r="33" spans="1:6" s="157" customFormat="1" ht="19.5" customHeight="1">
      <c r="A33" s="166" t="s">
        <v>190</v>
      </c>
      <c r="B33" s="86">
        <v>0</v>
      </c>
      <c r="C33" s="86">
        <v>0</v>
      </c>
      <c r="D33" s="167">
        <f t="shared" si="0"/>
        <v>0</v>
      </c>
      <c r="E33" s="167">
        <v>0</v>
      </c>
      <c r="F33" s="168">
        <f t="shared" si="1"/>
        <v>0</v>
      </c>
    </row>
    <row r="34" spans="1:6" s="157" customFormat="1" ht="19.5" customHeight="1">
      <c r="A34" s="166" t="s">
        <v>191</v>
      </c>
      <c r="B34" s="86">
        <v>0</v>
      </c>
      <c r="C34" s="86">
        <v>0</v>
      </c>
      <c r="D34" s="167">
        <f t="shared" si="0"/>
        <v>0</v>
      </c>
      <c r="E34" s="167">
        <v>0</v>
      </c>
      <c r="F34" s="168">
        <f t="shared" si="1"/>
        <v>0</v>
      </c>
    </row>
    <row r="35" spans="1:6" s="158" customFormat="1" ht="19.5" customHeight="1">
      <c r="A35" s="164" t="s">
        <v>192</v>
      </c>
      <c r="B35" s="164">
        <f>SUM(B36:B37)</f>
        <v>211</v>
      </c>
      <c r="C35" s="164">
        <f>SUM(C36:C37)</f>
        <v>74</v>
      </c>
      <c r="D35" s="164">
        <f>SUM(D36:D37)</f>
        <v>88</v>
      </c>
      <c r="E35" s="164">
        <v>162</v>
      </c>
      <c r="F35" s="165">
        <f t="shared" si="1"/>
        <v>-23.22274881516588</v>
      </c>
    </row>
    <row r="36" spans="1:6" s="157" customFormat="1" ht="19.5" customHeight="1">
      <c r="A36" s="169" t="s">
        <v>193</v>
      </c>
      <c r="B36" s="86">
        <v>211</v>
      </c>
      <c r="C36" s="86">
        <v>74</v>
      </c>
      <c r="D36" s="167">
        <f t="shared" si="0"/>
        <v>88</v>
      </c>
      <c r="E36" s="167">
        <v>162</v>
      </c>
      <c r="F36" s="168">
        <f t="shared" si="1"/>
        <v>-23.22274881516588</v>
      </c>
    </row>
    <row r="37" spans="1:6" s="157" customFormat="1" ht="19.5" customHeight="1">
      <c r="A37" s="169" t="s">
        <v>194</v>
      </c>
      <c r="B37" s="86">
        <v>0</v>
      </c>
      <c r="C37" s="86"/>
      <c r="D37" s="167">
        <f t="shared" si="0"/>
        <v>0</v>
      </c>
      <c r="E37" s="167">
        <v>0</v>
      </c>
      <c r="F37" s="168">
        <f t="shared" si="1"/>
        <v>0</v>
      </c>
    </row>
    <row r="38" spans="1:6" s="158" customFormat="1" ht="19.5" customHeight="1">
      <c r="A38" s="164" t="s">
        <v>195</v>
      </c>
      <c r="B38" s="129">
        <f>SUM(B39:B49)</f>
        <v>8941</v>
      </c>
      <c r="C38" s="129">
        <f>SUM(C39:C49)</f>
        <v>9293</v>
      </c>
      <c r="D38" s="129">
        <f>SUM(D39:D49)</f>
        <v>1701</v>
      </c>
      <c r="E38" s="129">
        <v>10994</v>
      </c>
      <c r="F38" s="165">
        <f t="shared" si="1"/>
        <v>22.961637400738173</v>
      </c>
    </row>
    <row r="39" spans="1:6" s="157" customFormat="1" ht="19.5" customHeight="1">
      <c r="A39" s="166" t="s">
        <v>196</v>
      </c>
      <c r="B39" s="89">
        <v>9</v>
      </c>
      <c r="C39" s="86">
        <v>14</v>
      </c>
      <c r="D39" s="167">
        <f t="shared" si="0"/>
        <v>43</v>
      </c>
      <c r="E39" s="167">
        <v>57</v>
      </c>
      <c r="F39" s="168">
        <f t="shared" si="1"/>
        <v>533.3333333333333</v>
      </c>
    </row>
    <row r="40" spans="1:6" s="157" customFormat="1" ht="19.5" customHeight="1">
      <c r="A40" s="169" t="s">
        <v>197</v>
      </c>
      <c r="B40" s="89">
        <v>7945</v>
      </c>
      <c r="C40" s="86">
        <v>8218</v>
      </c>
      <c r="D40" s="167">
        <f t="shared" si="0"/>
        <v>1344</v>
      </c>
      <c r="E40" s="167">
        <v>9562</v>
      </c>
      <c r="F40" s="168">
        <f t="shared" si="1"/>
        <v>20.352422907488986</v>
      </c>
    </row>
    <row r="41" spans="1:6" s="157" customFormat="1" ht="19.5" customHeight="1">
      <c r="A41" s="166" t="s">
        <v>198</v>
      </c>
      <c r="B41" s="89">
        <v>1</v>
      </c>
      <c r="C41" s="86">
        <v>3</v>
      </c>
      <c r="D41" s="167">
        <f t="shared" si="0"/>
        <v>0</v>
      </c>
      <c r="E41" s="167">
        <v>3</v>
      </c>
      <c r="F41" s="168">
        <f t="shared" si="1"/>
        <v>200</v>
      </c>
    </row>
    <row r="42" spans="1:6" s="157" customFormat="1" ht="19.5" customHeight="1">
      <c r="A42" s="166" t="s">
        <v>199</v>
      </c>
      <c r="B42" s="89">
        <v>59</v>
      </c>
      <c r="C42" s="86">
        <v>98</v>
      </c>
      <c r="D42" s="167">
        <f t="shared" si="0"/>
        <v>50</v>
      </c>
      <c r="E42" s="167">
        <v>148</v>
      </c>
      <c r="F42" s="168">
        <f t="shared" si="1"/>
        <v>150.84745762711864</v>
      </c>
    </row>
    <row r="43" spans="1:6" s="157" customFormat="1" ht="19.5" customHeight="1">
      <c r="A43" s="86" t="s">
        <v>200</v>
      </c>
      <c r="B43" s="89">
        <v>108</v>
      </c>
      <c r="C43" s="86">
        <v>178</v>
      </c>
      <c r="D43" s="167">
        <f t="shared" si="0"/>
        <v>70</v>
      </c>
      <c r="E43" s="167">
        <v>248</v>
      </c>
      <c r="F43" s="168">
        <f t="shared" si="1"/>
        <v>129.62962962962962</v>
      </c>
    </row>
    <row r="44" spans="1:6" s="157" customFormat="1" ht="19.5" customHeight="1">
      <c r="A44" s="166" t="s">
        <v>201</v>
      </c>
      <c r="B44" s="89">
        <v>807</v>
      </c>
      <c r="C44" s="86">
        <v>781</v>
      </c>
      <c r="D44" s="167">
        <f t="shared" si="0"/>
        <v>181</v>
      </c>
      <c r="E44" s="167">
        <v>962</v>
      </c>
      <c r="F44" s="168">
        <f t="shared" si="1"/>
        <v>19.206939281288722</v>
      </c>
    </row>
    <row r="45" spans="1:6" s="157" customFormat="1" ht="19.5" customHeight="1">
      <c r="A45" s="166" t="s">
        <v>202</v>
      </c>
      <c r="B45" s="89"/>
      <c r="C45" s="86">
        <v>0</v>
      </c>
      <c r="D45" s="167">
        <f t="shared" si="0"/>
        <v>0</v>
      </c>
      <c r="E45" s="167">
        <v>0</v>
      </c>
      <c r="F45" s="168">
        <f t="shared" si="1"/>
        <v>0</v>
      </c>
    </row>
    <row r="46" spans="1:6" s="157" customFormat="1" ht="19.5" customHeight="1">
      <c r="A46" s="169" t="s">
        <v>203</v>
      </c>
      <c r="B46" s="89"/>
      <c r="C46" s="86">
        <v>0</v>
      </c>
      <c r="D46" s="167">
        <f t="shared" si="0"/>
        <v>0</v>
      </c>
      <c r="E46" s="167">
        <v>0</v>
      </c>
      <c r="F46" s="168">
        <f t="shared" si="1"/>
        <v>0</v>
      </c>
    </row>
    <row r="47" spans="1:6" s="157" customFormat="1" ht="19.5" customHeight="1">
      <c r="A47" s="86" t="s">
        <v>204</v>
      </c>
      <c r="B47" s="89"/>
      <c r="C47" s="86">
        <v>0</v>
      </c>
      <c r="D47" s="167">
        <f t="shared" si="0"/>
        <v>0</v>
      </c>
      <c r="E47" s="167">
        <v>0</v>
      </c>
      <c r="F47" s="168">
        <f t="shared" si="1"/>
        <v>0</v>
      </c>
    </row>
    <row r="48" spans="1:6" s="157" customFormat="1" ht="19.5" customHeight="1">
      <c r="A48" s="166" t="s">
        <v>205</v>
      </c>
      <c r="B48" s="89"/>
      <c r="C48" s="86">
        <v>0</v>
      </c>
      <c r="D48" s="167">
        <f t="shared" si="0"/>
        <v>0</v>
      </c>
      <c r="E48" s="167">
        <v>0</v>
      </c>
      <c r="F48" s="168">
        <f t="shared" si="1"/>
        <v>0</v>
      </c>
    </row>
    <row r="49" spans="1:6" s="157" customFormat="1" ht="19.5" customHeight="1">
      <c r="A49" s="169" t="s">
        <v>206</v>
      </c>
      <c r="B49" s="89">
        <v>12</v>
      </c>
      <c r="C49" s="86">
        <v>1</v>
      </c>
      <c r="D49" s="167">
        <f t="shared" si="0"/>
        <v>13</v>
      </c>
      <c r="E49" s="167">
        <v>14</v>
      </c>
      <c r="F49" s="168">
        <f t="shared" si="1"/>
        <v>16.666666666666664</v>
      </c>
    </row>
    <row r="50" spans="1:6" s="158" customFormat="1" ht="19.5" customHeight="1">
      <c r="A50" s="164" t="s">
        <v>207</v>
      </c>
      <c r="B50" s="129">
        <f>SUM(B51:B60)</f>
        <v>66062</v>
      </c>
      <c r="C50" s="129">
        <f>SUM(C51:C60)</f>
        <v>83984</v>
      </c>
      <c r="D50" s="129">
        <f>SUM(D51:D60)</f>
        <v>-8611</v>
      </c>
      <c r="E50" s="129">
        <v>75373</v>
      </c>
      <c r="F50" s="165">
        <f t="shared" si="1"/>
        <v>14.094335624110684</v>
      </c>
    </row>
    <row r="51" spans="1:6" s="157" customFormat="1" ht="19.5" customHeight="1">
      <c r="A51" s="169" t="s">
        <v>208</v>
      </c>
      <c r="B51" s="89">
        <v>221</v>
      </c>
      <c r="C51" s="86">
        <v>210</v>
      </c>
      <c r="D51" s="167">
        <f t="shared" si="0"/>
        <v>13</v>
      </c>
      <c r="E51" s="167">
        <v>223</v>
      </c>
      <c r="F51" s="168">
        <f t="shared" si="1"/>
        <v>0.904977375565611</v>
      </c>
    </row>
    <row r="52" spans="1:6" s="157" customFormat="1" ht="19.5" customHeight="1">
      <c r="A52" s="172" t="s">
        <v>209</v>
      </c>
      <c r="B52" s="89">
        <v>65339</v>
      </c>
      <c r="C52" s="173">
        <v>80184</v>
      </c>
      <c r="D52" s="167">
        <f t="shared" si="0"/>
        <v>-8637</v>
      </c>
      <c r="E52" s="174">
        <v>71547</v>
      </c>
      <c r="F52" s="168">
        <f t="shared" si="1"/>
        <v>9.501216731201884</v>
      </c>
    </row>
    <row r="53" spans="1:6" s="159" customFormat="1" ht="19.5" customHeight="1">
      <c r="A53" s="166" t="s">
        <v>210</v>
      </c>
      <c r="B53" s="89">
        <v>0</v>
      </c>
      <c r="C53" s="86">
        <v>300</v>
      </c>
      <c r="D53" s="167">
        <f t="shared" si="0"/>
        <v>0</v>
      </c>
      <c r="E53" s="167">
        <v>300</v>
      </c>
      <c r="F53" s="168">
        <f t="shared" si="1"/>
        <v>0</v>
      </c>
    </row>
    <row r="54" spans="1:6" s="157" customFormat="1" ht="19.5" customHeight="1">
      <c r="A54" s="86" t="s">
        <v>211</v>
      </c>
      <c r="B54" s="89">
        <v>0</v>
      </c>
      <c r="C54" s="86">
        <v>0</v>
      </c>
      <c r="D54" s="167">
        <f t="shared" si="0"/>
        <v>0</v>
      </c>
      <c r="E54" s="167">
        <v>0</v>
      </c>
      <c r="F54" s="168">
        <f t="shared" si="1"/>
        <v>0</v>
      </c>
    </row>
    <row r="55" spans="1:6" s="157" customFormat="1" ht="19.5" customHeight="1">
      <c r="A55" s="169" t="s">
        <v>212</v>
      </c>
      <c r="B55" s="89">
        <v>3</v>
      </c>
      <c r="C55" s="86">
        <v>0</v>
      </c>
      <c r="D55" s="167">
        <f t="shared" si="0"/>
        <v>0</v>
      </c>
      <c r="E55" s="167">
        <v>0</v>
      </c>
      <c r="F55" s="168">
        <f t="shared" si="1"/>
        <v>-100</v>
      </c>
    </row>
    <row r="56" spans="1:6" s="157" customFormat="1" ht="19.5" customHeight="1">
      <c r="A56" s="169" t="s">
        <v>213</v>
      </c>
      <c r="B56" s="89">
        <v>0</v>
      </c>
      <c r="C56" s="86">
        <v>0</v>
      </c>
      <c r="D56" s="167">
        <f t="shared" si="0"/>
        <v>0</v>
      </c>
      <c r="E56" s="167">
        <v>0</v>
      </c>
      <c r="F56" s="168">
        <f t="shared" si="1"/>
        <v>0</v>
      </c>
    </row>
    <row r="57" spans="1:6" s="157" customFormat="1" ht="19.5" customHeight="1">
      <c r="A57" s="166" t="s">
        <v>214</v>
      </c>
      <c r="B57" s="89">
        <v>300</v>
      </c>
      <c r="C57" s="86">
        <v>316</v>
      </c>
      <c r="D57" s="167">
        <f t="shared" si="0"/>
        <v>0</v>
      </c>
      <c r="E57" s="167">
        <v>316</v>
      </c>
      <c r="F57" s="168">
        <f t="shared" si="1"/>
        <v>5.333333333333334</v>
      </c>
    </row>
    <row r="58" spans="1:6" s="157" customFormat="1" ht="19.5" customHeight="1">
      <c r="A58" s="169" t="s">
        <v>215</v>
      </c>
      <c r="B58" s="89">
        <v>199</v>
      </c>
      <c r="C58" s="86">
        <v>272</v>
      </c>
      <c r="D58" s="167">
        <f t="shared" si="0"/>
        <v>13</v>
      </c>
      <c r="E58" s="167">
        <v>285</v>
      </c>
      <c r="F58" s="168">
        <f t="shared" si="1"/>
        <v>43.21608040201005</v>
      </c>
    </row>
    <row r="59" spans="1:6" s="157" customFormat="1" ht="19.5" customHeight="1">
      <c r="A59" s="166" t="s">
        <v>216</v>
      </c>
      <c r="B59" s="89"/>
      <c r="C59" s="86">
        <v>2702</v>
      </c>
      <c r="D59" s="167">
        <f t="shared" si="0"/>
        <v>0</v>
      </c>
      <c r="E59" s="167">
        <v>2702</v>
      </c>
      <c r="F59" s="168">
        <f t="shared" si="1"/>
        <v>0</v>
      </c>
    </row>
    <row r="60" spans="1:6" s="157" customFormat="1" ht="19.5" customHeight="1">
      <c r="A60" s="166" t="s">
        <v>217</v>
      </c>
      <c r="B60" s="89"/>
      <c r="C60" s="86">
        <v>0</v>
      </c>
      <c r="D60" s="167">
        <f t="shared" si="0"/>
        <v>0</v>
      </c>
      <c r="E60" s="167">
        <v>0</v>
      </c>
      <c r="F60" s="168">
        <f t="shared" si="1"/>
        <v>0</v>
      </c>
    </row>
    <row r="61" spans="1:6" s="158" customFormat="1" ht="19.5" customHeight="1">
      <c r="A61" s="164" t="s">
        <v>218</v>
      </c>
      <c r="B61" s="129">
        <f>SUM(B62:B71)</f>
        <v>526</v>
      </c>
      <c r="C61" s="129">
        <f>SUM(C62:C71)</f>
        <v>3233</v>
      </c>
      <c r="D61" s="129">
        <f>SUM(D62:D71)</f>
        <v>-1086</v>
      </c>
      <c r="E61" s="129">
        <v>2147</v>
      </c>
      <c r="F61" s="165">
        <f t="shared" si="1"/>
        <v>308.1749049429658</v>
      </c>
    </row>
    <row r="62" spans="1:6" s="157" customFormat="1" ht="19.5" customHeight="1">
      <c r="A62" s="169" t="s">
        <v>219</v>
      </c>
      <c r="B62" s="89">
        <v>327</v>
      </c>
      <c r="C62" s="86">
        <v>363</v>
      </c>
      <c r="D62" s="167">
        <f t="shared" si="0"/>
        <v>0</v>
      </c>
      <c r="E62" s="167">
        <v>363</v>
      </c>
      <c r="F62" s="168">
        <f t="shared" si="1"/>
        <v>11.009174311926607</v>
      </c>
    </row>
    <row r="63" spans="1:6" s="157" customFormat="1" ht="19.5" customHeight="1">
      <c r="A63" s="166" t="s">
        <v>220</v>
      </c>
      <c r="B63" s="89">
        <v>79</v>
      </c>
      <c r="C63" s="86">
        <v>98</v>
      </c>
      <c r="D63" s="167">
        <f t="shared" si="0"/>
        <v>45</v>
      </c>
      <c r="E63" s="167">
        <v>143</v>
      </c>
      <c r="F63" s="168">
        <f t="shared" si="1"/>
        <v>81.0126582278481</v>
      </c>
    </row>
    <row r="64" spans="1:6" s="157" customFormat="1" ht="19.5" customHeight="1">
      <c r="A64" s="169" t="s">
        <v>221</v>
      </c>
      <c r="B64" s="89">
        <v>13</v>
      </c>
      <c r="C64" s="86">
        <v>0</v>
      </c>
      <c r="D64" s="167">
        <f t="shared" si="0"/>
        <v>0</v>
      </c>
      <c r="E64" s="167">
        <v>0</v>
      </c>
      <c r="F64" s="168">
        <f t="shared" si="1"/>
        <v>-100</v>
      </c>
    </row>
    <row r="65" spans="1:6" s="157" customFormat="1" ht="19.5" customHeight="1">
      <c r="A65" s="169" t="s">
        <v>222</v>
      </c>
      <c r="B65" s="89">
        <v>16</v>
      </c>
      <c r="C65" s="86">
        <v>2676</v>
      </c>
      <c r="D65" s="167">
        <f t="shared" si="0"/>
        <v>-1157</v>
      </c>
      <c r="E65" s="167">
        <v>1519</v>
      </c>
      <c r="F65" s="168">
        <f t="shared" si="1"/>
        <v>9393.75</v>
      </c>
    </row>
    <row r="66" spans="1:6" s="157" customFormat="1" ht="19.5" customHeight="1">
      <c r="A66" s="169" t="s">
        <v>223</v>
      </c>
      <c r="B66" s="89">
        <v>0</v>
      </c>
      <c r="C66" s="86">
        <v>0</v>
      </c>
      <c r="D66" s="167">
        <f t="shared" si="0"/>
        <v>0</v>
      </c>
      <c r="E66" s="167">
        <v>0</v>
      </c>
      <c r="F66" s="168">
        <f t="shared" si="1"/>
        <v>0</v>
      </c>
    </row>
    <row r="67" spans="1:6" s="157" customFormat="1" ht="19.5" customHeight="1">
      <c r="A67" s="169" t="s">
        <v>224</v>
      </c>
      <c r="B67" s="89">
        <v>0</v>
      </c>
      <c r="C67" s="86">
        <v>0</v>
      </c>
      <c r="D67" s="167">
        <f t="shared" si="0"/>
        <v>0</v>
      </c>
      <c r="E67" s="167">
        <v>0</v>
      </c>
      <c r="F67" s="168">
        <f t="shared" si="1"/>
        <v>0</v>
      </c>
    </row>
    <row r="68" spans="1:6" s="157" customFormat="1" ht="19.5" customHeight="1">
      <c r="A68" s="166" t="s">
        <v>225</v>
      </c>
      <c r="B68" s="89">
        <v>90</v>
      </c>
      <c r="C68" s="86">
        <v>96</v>
      </c>
      <c r="D68" s="167">
        <f t="shared" si="0"/>
        <v>1</v>
      </c>
      <c r="E68" s="167">
        <v>97</v>
      </c>
      <c r="F68" s="168">
        <f aca="true" t="shared" si="2" ref="F68:F137">IF(B68=0,,SUM(E68-B68)/B68*100)</f>
        <v>7.777777777777778</v>
      </c>
    </row>
    <row r="69" spans="1:6" s="157" customFormat="1" ht="19.5" customHeight="1">
      <c r="A69" s="166" t="s">
        <v>226</v>
      </c>
      <c r="B69" s="89">
        <v>0</v>
      </c>
      <c r="C69" s="86">
        <v>0</v>
      </c>
      <c r="D69" s="167">
        <f aca="true" t="shared" si="3" ref="D69:D132">E69-C69</f>
        <v>0</v>
      </c>
      <c r="E69" s="167">
        <v>0</v>
      </c>
      <c r="F69" s="168">
        <f t="shared" si="2"/>
        <v>0</v>
      </c>
    </row>
    <row r="70" spans="1:6" s="157" customFormat="1" ht="19.5" customHeight="1">
      <c r="A70" s="86" t="s">
        <v>227</v>
      </c>
      <c r="B70" s="89">
        <v>1</v>
      </c>
      <c r="C70" s="86">
        <v>0</v>
      </c>
      <c r="D70" s="167">
        <f t="shared" si="3"/>
        <v>25</v>
      </c>
      <c r="E70" s="167">
        <v>25</v>
      </c>
      <c r="F70" s="168">
        <f t="shared" si="2"/>
        <v>2400</v>
      </c>
    </row>
    <row r="71" spans="1:6" s="157" customFormat="1" ht="19.5" customHeight="1">
      <c r="A71" s="166" t="s">
        <v>228</v>
      </c>
      <c r="B71" s="89"/>
      <c r="C71" s="86">
        <v>0</v>
      </c>
      <c r="D71" s="167">
        <f t="shared" si="3"/>
        <v>0</v>
      </c>
      <c r="E71" s="167">
        <v>0</v>
      </c>
      <c r="F71" s="168">
        <f t="shared" si="2"/>
        <v>0</v>
      </c>
    </row>
    <row r="72" spans="1:6" s="158" customFormat="1" ht="19.5" customHeight="1">
      <c r="A72" s="164" t="s">
        <v>229</v>
      </c>
      <c r="B72" s="129">
        <f>SUM(B73:B78)</f>
        <v>2713</v>
      </c>
      <c r="C72" s="129">
        <f>SUM(C73:C78)</f>
        <v>1874</v>
      </c>
      <c r="D72" s="129">
        <f>SUM(D73:D78)</f>
        <v>3566</v>
      </c>
      <c r="E72" s="129">
        <v>5440</v>
      </c>
      <c r="F72" s="165">
        <f t="shared" si="2"/>
        <v>100.51603391079986</v>
      </c>
    </row>
    <row r="73" spans="1:6" s="157" customFormat="1" ht="19.5" customHeight="1">
      <c r="A73" s="86" t="s">
        <v>230</v>
      </c>
      <c r="B73" s="89">
        <v>1833</v>
      </c>
      <c r="C73" s="86">
        <v>1412</v>
      </c>
      <c r="D73" s="167">
        <f t="shared" si="3"/>
        <v>3311</v>
      </c>
      <c r="E73" s="167">
        <v>4723</v>
      </c>
      <c r="F73" s="168">
        <f t="shared" si="2"/>
        <v>157.66503000545552</v>
      </c>
    </row>
    <row r="74" spans="1:6" s="157" customFormat="1" ht="19.5" customHeight="1">
      <c r="A74" s="86" t="s">
        <v>231</v>
      </c>
      <c r="B74" s="89">
        <v>318</v>
      </c>
      <c r="C74" s="86">
        <v>155</v>
      </c>
      <c r="D74" s="167">
        <f t="shared" si="3"/>
        <v>118</v>
      </c>
      <c r="E74" s="167">
        <v>273</v>
      </c>
      <c r="F74" s="168">
        <f t="shared" si="2"/>
        <v>-14.150943396226415</v>
      </c>
    </row>
    <row r="75" spans="1:6" s="157" customFormat="1" ht="19.5" customHeight="1">
      <c r="A75" s="86" t="s">
        <v>232</v>
      </c>
      <c r="B75" s="89">
        <v>61</v>
      </c>
      <c r="C75" s="86">
        <v>36</v>
      </c>
      <c r="D75" s="167">
        <f t="shared" si="3"/>
        <v>4</v>
      </c>
      <c r="E75" s="167">
        <v>40</v>
      </c>
      <c r="F75" s="168">
        <f t="shared" si="2"/>
        <v>-34.42622950819672</v>
      </c>
    </row>
    <row r="76" spans="1:6" s="157" customFormat="1" ht="19.5" customHeight="1">
      <c r="A76" s="254" t="s">
        <v>233</v>
      </c>
      <c r="B76" s="89">
        <v>18</v>
      </c>
      <c r="C76" s="86">
        <v>0</v>
      </c>
      <c r="D76" s="167">
        <f t="shared" si="3"/>
        <v>50</v>
      </c>
      <c r="E76" s="167">
        <v>50</v>
      </c>
      <c r="F76" s="168">
        <f t="shared" si="2"/>
        <v>177.77777777777777</v>
      </c>
    </row>
    <row r="77" spans="1:6" s="157" customFormat="1" ht="19.5" customHeight="1">
      <c r="A77" s="254" t="s">
        <v>234</v>
      </c>
      <c r="B77" s="89">
        <v>482</v>
      </c>
      <c r="C77" s="86">
        <v>271</v>
      </c>
      <c r="D77" s="167">
        <f t="shared" si="3"/>
        <v>79</v>
      </c>
      <c r="E77" s="167">
        <v>350</v>
      </c>
      <c r="F77" s="168"/>
    </row>
    <row r="78" spans="1:6" s="157" customFormat="1" ht="19.5" customHeight="1">
      <c r="A78" s="86" t="s">
        <v>235</v>
      </c>
      <c r="B78" s="89">
        <v>1</v>
      </c>
      <c r="C78" s="86">
        <v>0</v>
      </c>
      <c r="D78" s="167">
        <f t="shared" si="3"/>
        <v>4</v>
      </c>
      <c r="E78" s="167">
        <v>4</v>
      </c>
      <c r="F78" s="168">
        <f t="shared" si="2"/>
        <v>300</v>
      </c>
    </row>
    <row r="79" spans="1:6" s="158" customFormat="1" ht="19.5" customHeight="1">
      <c r="A79" s="164" t="s">
        <v>236</v>
      </c>
      <c r="B79" s="129">
        <f>SUM(B80:B100)</f>
        <v>41452</v>
      </c>
      <c r="C79" s="129">
        <f>SUM(C80:C100)</f>
        <v>50539</v>
      </c>
      <c r="D79" s="129">
        <f>SUM(D80:D100)</f>
        <v>7190</v>
      </c>
      <c r="E79" s="129">
        <v>57729</v>
      </c>
      <c r="F79" s="165">
        <f t="shared" si="2"/>
        <v>39.26710412042845</v>
      </c>
    </row>
    <row r="80" spans="1:6" s="157" customFormat="1" ht="18.75" customHeight="1">
      <c r="A80" s="86" t="s">
        <v>237</v>
      </c>
      <c r="B80" s="89">
        <v>2770</v>
      </c>
      <c r="C80" s="86">
        <v>3465</v>
      </c>
      <c r="D80" s="167">
        <f t="shared" si="3"/>
        <v>175</v>
      </c>
      <c r="E80" s="167">
        <v>3640</v>
      </c>
      <c r="F80" s="168">
        <f t="shared" si="2"/>
        <v>31.40794223826715</v>
      </c>
    </row>
    <row r="81" spans="1:6" s="157" customFormat="1" ht="18.75" customHeight="1">
      <c r="A81" s="86" t="s">
        <v>238</v>
      </c>
      <c r="B81" s="89">
        <v>373</v>
      </c>
      <c r="C81" s="86">
        <v>410</v>
      </c>
      <c r="D81" s="167">
        <f t="shared" si="3"/>
        <v>247</v>
      </c>
      <c r="E81" s="167">
        <v>657</v>
      </c>
      <c r="F81" s="168">
        <f t="shared" si="2"/>
        <v>76.13941018766755</v>
      </c>
    </row>
    <row r="82" spans="1:6" s="157" customFormat="1" ht="19.5" customHeight="1">
      <c r="A82" s="254" t="s">
        <v>239</v>
      </c>
      <c r="B82" s="89">
        <v>0</v>
      </c>
      <c r="C82" s="86">
        <v>0</v>
      </c>
      <c r="D82" s="167">
        <f t="shared" si="3"/>
        <v>0</v>
      </c>
      <c r="E82" s="167">
        <v>0</v>
      </c>
      <c r="F82" s="168">
        <f t="shared" si="2"/>
        <v>0</v>
      </c>
    </row>
    <row r="83" spans="1:6" s="157" customFormat="1" ht="19.5" customHeight="1">
      <c r="A83" s="86" t="s">
        <v>240</v>
      </c>
      <c r="B83" s="89">
        <v>9173</v>
      </c>
      <c r="C83" s="86">
        <v>12026</v>
      </c>
      <c r="D83" s="167">
        <f t="shared" si="3"/>
        <v>7918</v>
      </c>
      <c r="E83" s="167">
        <v>19944</v>
      </c>
      <c r="F83" s="168">
        <f t="shared" si="2"/>
        <v>117.42069115883571</v>
      </c>
    </row>
    <row r="84" spans="1:6" s="157" customFormat="1" ht="19.5" customHeight="1">
      <c r="A84" s="86" t="s">
        <v>241</v>
      </c>
      <c r="B84" s="89">
        <v>0</v>
      </c>
      <c r="C84" s="86">
        <v>0</v>
      </c>
      <c r="D84" s="167">
        <f t="shared" si="3"/>
        <v>0</v>
      </c>
      <c r="E84" s="167">
        <v>0</v>
      </c>
      <c r="F84" s="168">
        <f t="shared" si="2"/>
        <v>0</v>
      </c>
    </row>
    <row r="85" spans="1:6" s="157" customFormat="1" ht="19.5" customHeight="1">
      <c r="A85" s="86" t="s">
        <v>242</v>
      </c>
      <c r="B85" s="89">
        <v>2161</v>
      </c>
      <c r="C85" s="86">
        <v>1265</v>
      </c>
      <c r="D85" s="167">
        <f t="shared" si="3"/>
        <v>343</v>
      </c>
      <c r="E85" s="167">
        <v>1608</v>
      </c>
      <c r="F85" s="168">
        <f t="shared" si="2"/>
        <v>-25.59000462748727</v>
      </c>
    </row>
    <row r="86" spans="1:6" s="157" customFormat="1" ht="19.5" customHeight="1">
      <c r="A86" s="86" t="s">
        <v>243</v>
      </c>
      <c r="B86" s="89">
        <v>1554</v>
      </c>
      <c r="C86" s="86">
        <v>1533</v>
      </c>
      <c r="D86" s="167">
        <f t="shared" si="3"/>
        <v>513</v>
      </c>
      <c r="E86" s="167">
        <v>2046</v>
      </c>
      <c r="F86" s="168">
        <f t="shared" si="2"/>
        <v>31.66023166023166</v>
      </c>
    </row>
    <row r="87" spans="1:6" s="157" customFormat="1" ht="19.5" customHeight="1">
      <c r="A87" s="86" t="s">
        <v>244</v>
      </c>
      <c r="B87" s="89">
        <v>170</v>
      </c>
      <c r="C87" s="86">
        <v>111</v>
      </c>
      <c r="D87" s="167">
        <f t="shared" si="3"/>
        <v>114</v>
      </c>
      <c r="E87" s="167">
        <v>225</v>
      </c>
      <c r="F87" s="168">
        <f t="shared" si="2"/>
        <v>32.35294117647059</v>
      </c>
    </row>
    <row r="88" spans="1:6" s="157" customFormat="1" ht="19.5" customHeight="1">
      <c r="A88" s="86" t="s">
        <v>245</v>
      </c>
      <c r="B88" s="89">
        <v>1084</v>
      </c>
      <c r="C88" s="86">
        <v>782</v>
      </c>
      <c r="D88" s="167">
        <f t="shared" si="3"/>
        <v>535</v>
      </c>
      <c r="E88" s="167">
        <v>1317</v>
      </c>
      <c r="F88" s="168">
        <f t="shared" si="2"/>
        <v>21.494464944649447</v>
      </c>
    </row>
    <row r="89" spans="1:6" s="157" customFormat="1" ht="19.5" customHeight="1">
      <c r="A89" s="86" t="s">
        <v>246</v>
      </c>
      <c r="B89" s="89">
        <v>1476</v>
      </c>
      <c r="C89" s="86">
        <v>562</v>
      </c>
      <c r="D89" s="167">
        <f t="shared" si="3"/>
        <v>508</v>
      </c>
      <c r="E89" s="167">
        <v>1070</v>
      </c>
      <c r="F89" s="168">
        <f t="shared" si="2"/>
        <v>-27.506775067750677</v>
      </c>
    </row>
    <row r="90" spans="1:6" s="157" customFormat="1" ht="19.5" customHeight="1">
      <c r="A90" s="86" t="s">
        <v>247</v>
      </c>
      <c r="B90" s="89">
        <v>20</v>
      </c>
      <c r="C90" s="86">
        <v>52</v>
      </c>
      <c r="D90" s="167">
        <f t="shared" si="3"/>
        <v>13</v>
      </c>
      <c r="E90" s="167">
        <v>65</v>
      </c>
      <c r="F90" s="168">
        <f t="shared" si="2"/>
        <v>225</v>
      </c>
    </row>
    <row r="91" spans="1:6" s="157" customFormat="1" ht="19.5" customHeight="1">
      <c r="A91" s="86" t="s">
        <v>248</v>
      </c>
      <c r="B91" s="89">
        <v>10796</v>
      </c>
      <c r="C91" s="86">
        <v>14330</v>
      </c>
      <c r="D91" s="167">
        <f t="shared" si="3"/>
        <v>-3000</v>
      </c>
      <c r="E91" s="167">
        <v>11330</v>
      </c>
      <c r="F91" s="168">
        <f t="shared" si="2"/>
        <v>4.946276398666172</v>
      </c>
    </row>
    <row r="92" spans="1:6" s="157" customFormat="1" ht="19.5" customHeight="1">
      <c r="A92" s="86" t="s">
        <v>249</v>
      </c>
      <c r="B92" s="89">
        <v>218</v>
      </c>
      <c r="C92" s="86">
        <v>2500</v>
      </c>
      <c r="D92" s="167">
        <f t="shared" si="3"/>
        <v>-939</v>
      </c>
      <c r="E92" s="167">
        <v>1561</v>
      </c>
      <c r="F92" s="168">
        <f t="shared" si="2"/>
        <v>616.0550458715596</v>
      </c>
    </row>
    <row r="93" spans="1:6" s="157" customFormat="1" ht="19.5" customHeight="1">
      <c r="A93" s="86" t="s">
        <v>250</v>
      </c>
      <c r="B93" s="89">
        <v>1317</v>
      </c>
      <c r="C93" s="86">
        <v>576</v>
      </c>
      <c r="D93" s="167">
        <f t="shared" si="3"/>
        <v>905</v>
      </c>
      <c r="E93" s="167">
        <v>1481</v>
      </c>
      <c r="F93" s="168">
        <f t="shared" si="2"/>
        <v>12.452543659832955</v>
      </c>
    </row>
    <row r="94" spans="1:6" s="157" customFormat="1" ht="19.5" customHeight="1">
      <c r="A94" s="86" t="s">
        <v>251</v>
      </c>
      <c r="B94" s="89">
        <v>0</v>
      </c>
      <c r="C94" s="86">
        <v>0</v>
      </c>
      <c r="D94" s="167">
        <f t="shared" si="3"/>
        <v>0</v>
      </c>
      <c r="E94" s="167">
        <v>0</v>
      </c>
      <c r="F94" s="168">
        <f t="shared" si="2"/>
        <v>0</v>
      </c>
    </row>
    <row r="95" spans="1:6" s="157" customFormat="1" ht="19.5" customHeight="1">
      <c r="A95" s="86" t="s">
        <v>252</v>
      </c>
      <c r="B95" s="89">
        <v>4</v>
      </c>
      <c r="C95" s="86">
        <v>10</v>
      </c>
      <c r="D95" s="167">
        <f t="shared" si="3"/>
        <v>8</v>
      </c>
      <c r="E95" s="167">
        <v>18</v>
      </c>
      <c r="F95" s="168">
        <f t="shared" si="2"/>
        <v>350</v>
      </c>
    </row>
    <row r="96" spans="1:6" s="157" customFormat="1" ht="19.5" customHeight="1">
      <c r="A96" s="86" t="s">
        <v>253</v>
      </c>
      <c r="B96" s="89">
        <v>8334</v>
      </c>
      <c r="C96" s="86">
        <v>10352</v>
      </c>
      <c r="D96" s="167">
        <f t="shared" si="3"/>
        <v>-929</v>
      </c>
      <c r="E96" s="167">
        <v>9423</v>
      </c>
      <c r="F96" s="168">
        <f t="shared" si="2"/>
        <v>13.06695464362851</v>
      </c>
    </row>
    <row r="97" spans="1:6" s="157" customFormat="1" ht="19.5" customHeight="1">
      <c r="A97" s="254" t="s">
        <v>254</v>
      </c>
      <c r="B97" s="89">
        <v>0</v>
      </c>
      <c r="C97" s="86">
        <v>0</v>
      </c>
      <c r="D97" s="167">
        <f t="shared" si="3"/>
        <v>0</v>
      </c>
      <c r="E97" s="167">
        <v>0</v>
      </c>
      <c r="F97" s="168">
        <f t="shared" si="2"/>
        <v>0</v>
      </c>
    </row>
    <row r="98" spans="1:6" s="157" customFormat="1" ht="19.5" customHeight="1">
      <c r="A98" s="254" t="s">
        <v>255</v>
      </c>
      <c r="B98" s="89">
        <v>333</v>
      </c>
      <c r="C98" s="86">
        <v>458</v>
      </c>
      <c r="D98" s="167">
        <f t="shared" si="3"/>
        <v>24</v>
      </c>
      <c r="E98" s="167">
        <v>482</v>
      </c>
      <c r="F98" s="168">
        <f t="shared" si="2"/>
        <v>44.74474474474475</v>
      </c>
    </row>
    <row r="99" spans="1:6" s="157" customFormat="1" ht="19.5" customHeight="1">
      <c r="A99" s="254" t="s">
        <v>256</v>
      </c>
      <c r="B99" s="89">
        <v>1546</v>
      </c>
      <c r="C99" s="86">
        <v>2010</v>
      </c>
      <c r="D99" s="167">
        <f t="shared" si="3"/>
        <v>452</v>
      </c>
      <c r="E99" s="167">
        <v>2462</v>
      </c>
      <c r="F99" s="168"/>
    </row>
    <row r="100" spans="1:6" s="157" customFormat="1" ht="19.5" customHeight="1">
      <c r="A100" s="86" t="s">
        <v>257</v>
      </c>
      <c r="B100" s="89">
        <v>123</v>
      </c>
      <c r="C100" s="86">
        <v>97</v>
      </c>
      <c r="D100" s="167">
        <f t="shared" si="3"/>
        <v>303</v>
      </c>
      <c r="E100" s="167">
        <v>400</v>
      </c>
      <c r="F100" s="168">
        <f t="shared" si="2"/>
        <v>225.2032520325203</v>
      </c>
    </row>
    <row r="101" spans="1:6" s="158" customFormat="1" ht="19.5" customHeight="1">
      <c r="A101" s="164" t="s">
        <v>258</v>
      </c>
      <c r="B101" s="129">
        <f>SUM(B102:B114)</f>
        <v>19960</v>
      </c>
      <c r="C101" s="129">
        <f>SUM(C102:C114)</f>
        <v>19363</v>
      </c>
      <c r="D101" s="129">
        <f>SUM(D102:D114)</f>
        <v>10143</v>
      </c>
      <c r="E101" s="129">
        <v>29506</v>
      </c>
      <c r="F101" s="165">
        <f t="shared" si="2"/>
        <v>47.82565130260521</v>
      </c>
    </row>
    <row r="102" spans="1:6" s="157" customFormat="1" ht="19.5" customHeight="1">
      <c r="A102" s="86" t="s">
        <v>259</v>
      </c>
      <c r="B102" s="89">
        <v>580</v>
      </c>
      <c r="C102" s="86">
        <v>518</v>
      </c>
      <c r="D102" s="167">
        <f t="shared" si="3"/>
        <v>50</v>
      </c>
      <c r="E102" s="167">
        <v>568</v>
      </c>
      <c r="F102" s="168">
        <f t="shared" si="2"/>
        <v>-2.0689655172413794</v>
      </c>
    </row>
    <row r="103" spans="1:6" s="157" customFormat="1" ht="19.5" customHeight="1">
      <c r="A103" s="86" t="s">
        <v>260</v>
      </c>
      <c r="B103" s="89">
        <v>1511</v>
      </c>
      <c r="C103" s="86">
        <v>2941</v>
      </c>
      <c r="D103" s="167">
        <f t="shared" si="3"/>
        <v>1039</v>
      </c>
      <c r="E103" s="167">
        <v>3980</v>
      </c>
      <c r="F103" s="168">
        <f t="shared" si="2"/>
        <v>163.40172071475845</v>
      </c>
    </row>
    <row r="104" spans="1:6" s="157" customFormat="1" ht="19.5" customHeight="1">
      <c r="A104" s="86" t="s">
        <v>261</v>
      </c>
      <c r="B104" s="89">
        <v>4246</v>
      </c>
      <c r="C104" s="86">
        <v>3165</v>
      </c>
      <c r="D104" s="167">
        <f t="shared" si="3"/>
        <v>1195</v>
      </c>
      <c r="E104" s="167">
        <v>4360</v>
      </c>
      <c r="F104" s="168">
        <f t="shared" si="2"/>
        <v>2.6848798869524257</v>
      </c>
    </row>
    <row r="105" spans="1:6" s="157" customFormat="1" ht="19.5" customHeight="1">
      <c r="A105" s="86" t="s">
        <v>262</v>
      </c>
      <c r="B105" s="89">
        <v>4900</v>
      </c>
      <c r="C105" s="86">
        <v>1546</v>
      </c>
      <c r="D105" s="167">
        <f t="shared" si="3"/>
        <v>5796</v>
      </c>
      <c r="E105" s="167">
        <v>7342</v>
      </c>
      <c r="F105" s="168">
        <f t="shared" si="2"/>
        <v>49.836734693877546</v>
      </c>
    </row>
    <row r="106" spans="1:6" s="157" customFormat="1" ht="19.5" customHeight="1">
      <c r="A106" s="86" t="s">
        <v>263</v>
      </c>
      <c r="B106" s="89">
        <v>130</v>
      </c>
      <c r="C106" s="86">
        <v>148</v>
      </c>
      <c r="D106" s="167">
        <f t="shared" si="3"/>
        <v>133</v>
      </c>
      <c r="E106" s="167">
        <v>281</v>
      </c>
      <c r="F106" s="168">
        <f t="shared" si="2"/>
        <v>116.15384615384616</v>
      </c>
    </row>
    <row r="107" spans="1:6" s="157" customFormat="1" ht="19.5" customHeight="1">
      <c r="A107" s="86" t="s">
        <v>264</v>
      </c>
      <c r="B107" s="89">
        <v>1738</v>
      </c>
      <c r="C107" s="86">
        <v>3055</v>
      </c>
      <c r="D107" s="167">
        <f t="shared" si="3"/>
        <v>908</v>
      </c>
      <c r="E107" s="167">
        <v>3963</v>
      </c>
      <c r="F107" s="168">
        <f t="shared" si="2"/>
        <v>128.02071346375143</v>
      </c>
    </row>
    <row r="108" spans="1:6" s="157" customFormat="1" ht="19.5" customHeight="1">
      <c r="A108" s="86" t="s">
        <v>265</v>
      </c>
      <c r="B108" s="89">
        <v>2457</v>
      </c>
      <c r="C108" s="86">
        <v>2788</v>
      </c>
      <c r="D108" s="167">
        <f t="shared" si="3"/>
        <v>0</v>
      </c>
      <c r="E108" s="167">
        <v>2788</v>
      </c>
      <c r="F108" s="168">
        <f t="shared" si="2"/>
        <v>13.471713471713473</v>
      </c>
    </row>
    <row r="109" spans="1:6" s="157" customFormat="1" ht="19.5" customHeight="1">
      <c r="A109" s="86" t="s">
        <v>266</v>
      </c>
      <c r="B109" s="89">
        <v>1428</v>
      </c>
      <c r="C109" s="86">
        <v>1022</v>
      </c>
      <c r="D109" s="167">
        <f t="shared" si="3"/>
        <v>536</v>
      </c>
      <c r="E109" s="167">
        <v>1558</v>
      </c>
      <c r="F109" s="168">
        <f t="shared" si="2"/>
        <v>9.103641456582633</v>
      </c>
    </row>
    <row r="110" spans="1:6" s="157" customFormat="1" ht="19.5" customHeight="1">
      <c r="A110" s="86" t="s">
        <v>267</v>
      </c>
      <c r="B110" s="89">
        <v>2329</v>
      </c>
      <c r="C110" s="86">
        <v>2060</v>
      </c>
      <c r="D110" s="167">
        <f t="shared" si="3"/>
        <v>301</v>
      </c>
      <c r="E110" s="167">
        <v>2361</v>
      </c>
      <c r="F110" s="168">
        <f t="shared" si="2"/>
        <v>1.3739802490339201</v>
      </c>
    </row>
    <row r="111" spans="1:6" s="157" customFormat="1" ht="19.5" customHeight="1">
      <c r="A111" s="86" t="s">
        <v>268</v>
      </c>
      <c r="B111" s="89">
        <v>66</v>
      </c>
      <c r="C111" s="86">
        <v>79</v>
      </c>
      <c r="D111" s="167">
        <f t="shared" si="3"/>
        <v>15</v>
      </c>
      <c r="E111" s="167">
        <v>94</v>
      </c>
      <c r="F111" s="168">
        <f t="shared" si="2"/>
        <v>42.42424242424242</v>
      </c>
    </row>
    <row r="112" spans="1:6" s="157" customFormat="1" ht="19.5" customHeight="1">
      <c r="A112" s="86" t="s">
        <v>269</v>
      </c>
      <c r="B112" s="89">
        <v>345</v>
      </c>
      <c r="C112" s="86">
        <v>461</v>
      </c>
      <c r="D112" s="167">
        <f t="shared" si="3"/>
        <v>70</v>
      </c>
      <c r="E112" s="167">
        <v>531</v>
      </c>
      <c r="F112" s="168"/>
    </row>
    <row r="113" spans="1:6" s="157" customFormat="1" ht="19.5" customHeight="1">
      <c r="A113" s="86" t="s">
        <v>270</v>
      </c>
      <c r="B113" s="89">
        <v>0</v>
      </c>
      <c r="C113" s="86">
        <v>40</v>
      </c>
      <c r="D113" s="167">
        <f t="shared" si="3"/>
        <v>40</v>
      </c>
      <c r="E113" s="167">
        <v>80</v>
      </c>
      <c r="F113" s="168">
        <f>IF(B113=0,,SUM(E113-B113)/B113*100)</f>
        <v>0</v>
      </c>
    </row>
    <row r="114" spans="1:6" s="157" customFormat="1" ht="19.5" customHeight="1">
      <c r="A114" s="86" t="s">
        <v>271</v>
      </c>
      <c r="B114" s="89">
        <v>230</v>
      </c>
      <c r="C114" s="86">
        <v>1540</v>
      </c>
      <c r="D114" s="167">
        <f t="shared" si="3"/>
        <v>60</v>
      </c>
      <c r="E114" s="167">
        <v>1600</v>
      </c>
      <c r="F114" s="168">
        <f t="shared" si="2"/>
        <v>595.6521739130435</v>
      </c>
    </row>
    <row r="115" spans="1:6" s="158" customFormat="1" ht="19.5" customHeight="1">
      <c r="A115" s="164" t="s">
        <v>272</v>
      </c>
      <c r="B115" s="129">
        <f>SUM(B116:B130)</f>
        <v>2814</v>
      </c>
      <c r="C115" s="129">
        <f>SUM(C116:C130)</f>
        <v>2117</v>
      </c>
      <c r="D115" s="129">
        <f>SUM(D116:D130)</f>
        <v>2516</v>
      </c>
      <c r="E115" s="129">
        <v>4633</v>
      </c>
      <c r="F115" s="165">
        <f t="shared" si="2"/>
        <v>64.6410803127221</v>
      </c>
    </row>
    <row r="116" spans="1:6" s="157" customFormat="1" ht="19.5" customHeight="1">
      <c r="A116" s="86" t="s">
        <v>273</v>
      </c>
      <c r="B116" s="89">
        <v>0</v>
      </c>
      <c r="C116" s="86">
        <v>0</v>
      </c>
      <c r="D116" s="167">
        <f t="shared" si="3"/>
        <v>6</v>
      </c>
      <c r="E116" s="167">
        <v>6</v>
      </c>
      <c r="F116" s="168">
        <f t="shared" si="2"/>
        <v>0</v>
      </c>
    </row>
    <row r="117" spans="1:6" s="157" customFormat="1" ht="19.5" customHeight="1">
      <c r="A117" s="86" t="s">
        <v>274</v>
      </c>
      <c r="B117" s="89">
        <v>0</v>
      </c>
      <c r="C117" s="86">
        <v>0</v>
      </c>
      <c r="D117" s="167">
        <f t="shared" si="3"/>
        <v>0</v>
      </c>
      <c r="E117" s="167">
        <v>0</v>
      </c>
      <c r="F117" s="168">
        <f t="shared" si="2"/>
        <v>0</v>
      </c>
    </row>
    <row r="118" spans="1:6" s="157" customFormat="1" ht="19.5" customHeight="1">
      <c r="A118" s="86" t="s">
        <v>275</v>
      </c>
      <c r="B118" s="89">
        <v>872</v>
      </c>
      <c r="C118" s="86">
        <v>40</v>
      </c>
      <c r="D118" s="167">
        <f t="shared" si="3"/>
        <v>703</v>
      </c>
      <c r="E118" s="167">
        <v>743</v>
      </c>
      <c r="F118" s="168">
        <f t="shared" si="2"/>
        <v>-14.793577981651376</v>
      </c>
    </row>
    <row r="119" spans="1:6" s="157" customFormat="1" ht="19.5" customHeight="1">
      <c r="A119" s="86" t="s">
        <v>276</v>
      </c>
      <c r="B119" s="89">
        <v>1523</v>
      </c>
      <c r="C119" s="86">
        <v>1457</v>
      </c>
      <c r="D119" s="167">
        <f t="shared" si="3"/>
        <v>1062</v>
      </c>
      <c r="E119" s="167">
        <v>2519</v>
      </c>
      <c r="F119" s="168">
        <f t="shared" si="2"/>
        <v>65.39724228496388</v>
      </c>
    </row>
    <row r="120" spans="1:6" s="157" customFormat="1" ht="19.5" customHeight="1">
      <c r="A120" s="86" t="s">
        <v>277</v>
      </c>
      <c r="B120" s="89">
        <v>11</v>
      </c>
      <c r="C120" s="86">
        <v>20</v>
      </c>
      <c r="D120" s="167">
        <f t="shared" si="3"/>
        <v>0</v>
      </c>
      <c r="E120" s="167">
        <v>20</v>
      </c>
      <c r="F120" s="168">
        <f t="shared" si="2"/>
        <v>81.81818181818183</v>
      </c>
    </row>
    <row r="121" spans="1:6" s="157" customFormat="1" ht="19.5" customHeight="1">
      <c r="A121" s="86" t="s">
        <v>278</v>
      </c>
      <c r="B121" s="89">
        <v>0</v>
      </c>
      <c r="C121" s="86">
        <v>0</v>
      </c>
      <c r="D121" s="167">
        <f t="shared" si="3"/>
        <v>49</v>
      </c>
      <c r="E121" s="167">
        <v>49</v>
      </c>
      <c r="F121" s="168">
        <f t="shared" si="2"/>
        <v>0</v>
      </c>
    </row>
    <row r="122" spans="1:6" s="157" customFormat="1" ht="19.5" customHeight="1">
      <c r="A122" s="86" t="s">
        <v>279</v>
      </c>
      <c r="B122" s="89">
        <v>0</v>
      </c>
      <c r="C122" s="86">
        <v>0</v>
      </c>
      <c r="D122" s="167">
        <f t="shared" si="3"/>
        <v>0</v>
      </c>
      <c r="E122" s="167">
        <v>0</v>
      </c>
      <c r="F122" s="168">
        <f t="shared" si="2"/>
        <v>0</v>
      </c>
    </row>
    <row r="123" spans="1:6" s="157" customFormat="1" ht="19.5" customHeight="1">
      <c r="A123" s="86" t="s">
        <v>280</v>
      </c>
      <c r="B123" s="89">
        <v>0</v>
      </c>
      <c r="C123" s="86">
        <v>0</v>
      </c>
      <c r="D123" s="167">
        <f t="shared" si="3"/>
        <v>0</v>
      </c>
      <c r="E123" s="167">
        <v>0</v>
      </c>
      <c r="F123" s="168">
        <f t="shared" si="2"/>
        <v>0</v>
      </c>
    </row>
    <row r="124" spans="1:6" s="157" customFormat="1" ht="19.5" customHeight="1">
      <c r="A124" s="86" t="s">
        <v>281</v>
      </c>
      <c r="B124" s="89">
        <v>0</v>
      </c>
      <c r="C124" s="86">
        <v>0</v>
      </c>
      <c r="D124" s="167">
        <f t="shared" si="3"/>
        <v>0</v>
      </c>
      <c r="E124" s="167">
        <v>0</v>
      </c>
      <c r="F124" s="168">
        <f t="shared" si="2"/>
        <v>0</v>
      </c>
    </row>
    <row r="125" spans="1:6" s="157" customFormat="1" ht="19.5" customHeight="1">
      <c r="A125" s="86" t="s">
        <v>282</v>
      </c>
      <c r="B125" s="89">
        <v>1</v>
      </c>
      <c r="C125" s="86">
        <v>0</v>
      </c>
      <c r="D125" s="167">
        <f t="shared" si="3"/>
        <v>42</v>
      </c>
      <c r="E125" s="167">
        <v>42</v>
      </c>
      <c r="F125" s="168">
        <f t="shared" si="2"/>
        <v>4100</v>
      </c>
    </row>
    <row r="126" spans="1:6" s="157" customFormat="1" ht="19.5" customHeight="1">
      <c r="A126" s="86" t="s">
        <v>283</v>
      </c>
      <c r="B126" s="89">
        <v>0</v>
      </c>
      <c r="C126" s="86">
        <v>200</v>
      </c>
      <c r="D126" s="167">
        <f t="shared" si="3"/>
        <v>0</v>
      </c>
      <c r="E126" s="167">
        <v>200</v>
      </c>
      <c r="F126" s="168">
        <f t="shared" si="2"/>
        <v>0</v>
      </c>
    </row>
    <row r="127" spans="1:6" s="157" customFormat="1" ht="19.5" customHeight="1">
      <c r="A127" s="86" t="s">
        <v>284</v>
      </c>
      <c r="B127" s="89">
        <v>0</v>
      </c>
      <c r="C127" s="86">
        <v>400</v>
      </c>
      <c r="D127" s="167">
        <f t="shared" si="3"/>
        <v>0</v>
      </c>
      <c r="E127" s="167">
        <v>400</v>
      </c>
      <c r="F127" s="168">
        <f t="shared" si="2"/>
        <v>0</v>
      </c>
    </row>
    <row r="128" spans="1:6" s="157" customFormat="1" ht="19.5" customHeight="1">
      <c r="A128" s="86" t="s">
        <v>285</v>
      </c>
      <c r="B128" s="89">
        <v>0</v>
      </c>
      <c r="C128" s="86">
        <v>0</v>
      </c>
      <c r="D128" s="167">
        <f t="shared" si="3"/>
        <v>0</v>
      </c>
      <c r="E128" s="167">
        <v>0</v>
      </c>
      <c r="F128" s="168">
        <f t="shared" si="2"/>
        <v>0</v>
      </c>
    </row>
    <row r="129" spans="1:6" s="157" customFormat="1" ht="19.5" customHeight="1">
      <c r="A129" s="86" t="s">
        <v>286</v>
      </c>
      <c r="B129" s="89">
        <v>0</v>
      </c>
      <c r="C129" s="86">
        <v>0</v>
      </c>
      <c r="D129" s="167">
        <f t="shared" si="3"/>
        <v>0</v>
      </c>
      <c r="E129" s="167">
        <v>0</v>
      </c>
      <c r="F129" s="168">
        <f t="shared" si="2"/>
        <v>0</v>
      </c>
    </row>
    <row r="130" spans="1:6" s="157" customFormat="1" ht="19.5" customHeight="1">
      <c r="A130" s="86" t="s">
        <v>287</v>
      </c>
      <c r="B130" s="89">
        <v>407</v>
      </c>
      <c r="C130" s="86">
        <v>0</v>
      </c>
      <c r="D130" s="167">
        <f t="shared" si="3"/>
        <v>654</v>
      </c>
      <c r="E130" s="167">
        <v>654</v>
      </c>
      <c r="F130" s="168">
        <f t="shared" si="2"/>
        <v>60.68796068796068</v>
      </c>
    </row>
    <row r="131" spans="1:6" s="158" customFormat="1" ht="19.5" customHeight="1">
      <c r="A131" s="164" t="s">
        <v>288</v>
      </c>
      <c r="B131" s="129">
        <f>SUM(B132:B137)</f>
        <v>5789</v>
      </c>
      <c r="C131" s="129">
        <f>SUM(C132:C137)</f>
        <v>10958</v>
      </c>
      <c r="D131" s="129">
        <f>SUM(D132:D137)</f>
        <v>1771</v>
      </c>
      <c r="E131" s="129">
        <v>12729</v>
      </c>
      <c r="F131" s="165">
        <f t="shared" si="2"/>
        <v>119.88253584384177</v>
      </c>
    </row>
    <row r="132" spans="1:6" s="157" customFormat="1" ht="19.5" customHeight="1">
      <c r="A132" s="86" t="s">
        <v>289</v>
      </c>
      <c r="B132" s="89">
        <v>2197</v>
      </c>
      <c r="C132" s="86">
        <v>2589</v>
      </c>
      <c r="D132" s="167">
        <f t="shared" si="3"/>
        <v>624</v>
      </c>
      <c r="E132" s="167">
        <v>3213</v>
      </c>
      <c r="F132" s="168">
        <f t="shared" si="2"/>
        <v>46.244879380974055</v>
      </c>
    </row>
    <row r="133" spans="1:6" s="157" customFormat="1" ht="19.5" customHeight="1">
      <c r="A133" s="86" t="s">
        <v>290</v>
      </c>
      <c r="B133" s="89">
        <v>1</v>
      </c>
      <c r="C133" s="86">
        <v>0</v>
      </c>
      <c r="D133" s="167">
        <f aca="true" t="shared" si="4" ref="D133:D196">E133-C133</f>
        <v>0</v>
      </c>
      <c r="E133" s="167">
        <v>0</v>
      </c>
      <c r="F133" s="168">
        <f t="shared" si="2"/>
        <v>-100</v>
      </c>
    </row>
    <row r="134" spans="1:6" s="157" customFormat="1" ht="19.5" customHeight="1">
      <c r="A134" s="86" t="s">
        <v>291</v>
      </c>
      <c r="B134" s="89">
        <v>1095</v>
      </c>
      <c r="C134" s="86">
        <v>5937</v>
      </c>
      <c r="D134" s="167">
        <f t="shared" si="4"/>
        <v>761</v>
      </c>
      <c r="E134" s="167">
        <v>6698</v>
      </c>
      <c r="F134" s="168">
        <f t="shared" si="2"/>
        <v>511.68949771689495</v>
      </c>
    </row>
    <row r="135" spans="1:6" s="157" customFormat="1" ht="19.5" customHeight="1">
      <c r="A135" s="86" t="s">
        <v>292</v>
      </c>
      <c r="B135" s="89">
        <v>1959</v>
      </c>
      <c r="C135" s="86">
        <v>1836</v>
      </c>
      <c r="D135" s="167">
        <f t="shared" si="4"/>
        <v>120</v>
      </c>
      <c r="E135" s="167">
        <v>1956</v>
      </c>
      <c r="F135" s="168">
        <f t="shared" si="2"/>
        <v>-0.1531393568147014</v>
      </c>
    </row>
    <row r="136" spans="1:6" s="157" customFormat="1" ht="19.5" customHeight="1">
      <c r="A136" s="86" t="s">
        <v>293</v>
      </c>
      <c r="B136" s="89">
        <v>0</v>
      </c>
      <c r="C136" s="86">
        <v>0</v>
      </c>
      <c r="D136" s="167">
        <f t="shared" si="4"/>
        <v>0</v>
      </c>
      <c r="E136" s="167">
        <v>0</v>
      </c>
      <c r="F136" s="168">
        <f t="shared" si="2"/>
        <v>0</v>
      </c>
    </row>
    <row r="137" spans="1:6" s="157" customFormat="1" ht="19.5" customHeight="1">
      <c r="A137" s="86" t="s">
        <v>294</v>
      </c>
      <c r="B137" s="89">
        <v>537</v>
      </c>
      <c r="C137" s="86">
        <v>596</v>
      </c>
      <c r="D137" s="167">
        <f t="shared" si="4"/>
        <v>266</v>
      </c>
      <c r="E137" s="167">
        <v>862</v>
      </c>
      <c r="F137" s="168">
        <f t="shared" si="2"/>
        <v>60.52141527001862</v>
      </c>
    </row>
    <row r="138" spans="1:6" s="158" customFormat="1" ht="19.5" customHeight="1">
      <c r="A138" s="164" t="s">
        <v>295</v>
      </c>
      <c r="B138" s="129">
        <f>SUM(B139:B148)</f>
        <v>98375</v>
      </c>
      <c r="C138" s="129">
        <f>SUM(C139:C148)</f>
        <v>86792</v>
      </c>
      <c r="D138" s="129">
        <f>SUM(D139:D148)</f>
        <v>37215</v>
      </c>
      <c r="E138" s="129">
        <v>124007</v>
      </c>
      <c r="F138" s="165">
        <f aca="true" t="shared" si="5" ref="F138:F201">IF(B138=0,,SUM(E138-B138)/B138*100)</f>
        <v>26.05540025412961</v>
      </c>
    </row>
    <row r="139" spans="1:6" s="157" customFormat="1" ht="19.5" customHeight="1">
      <c r="A139" s="86" t="s">
        <v>296</v>
      </c>
      <c r="B139" s="89">
        <v>8336</v>
      </c>
      <c r="C139" s="86">
        <v>10148</v>
      </c>
      <c r="D139" s="167">
        <f t="shared" si="4"/>
        <v>3978</v>
      </c>
      <c r="E139" s="167">
        <v>14126</v>
      </c>
      <c r="F139" s="168">
        <f t="shared" si="5"/>
        <v>69.45777351247601</v>
      </c>
    </row>
    <row r="140" spans="1:6" s="157" customFormat="1" ht="19.5" customHeight="1">
      <c r="A140" s="86" t="s">
        <v>297</v>
      </c>
      <c r="B140" s="89">
        <v>4361</v>
      </c>
      <c r="C140" s="86">
        <v>11901</v>
      </c>
      <c r="D140" s="167">
        <f t="shared" si="4"/>
        <v>3939</v>
      </c>
      <c r="E140" s="167">
        <v>15840</v>
      </c>
      <c r="F140" s="168">
        <f t="shared" si="5"/>
        <v>263.21944508140336</v>
      </c>
    </row>
    <row r="141" spans="1:6" s="157" customFormat="1" ht="19.5" customHeight="1">
      <c r="A141" s="86" t="s">
        <v>298</v>
      </c>
      <c r="B141" s="89">
        <v>2915</v>
      </c>
      <c r="C141" s="86">
        <v>4201</v>
      </c>
      <c r="D141" s="167">
        <f t="shared" si="4"/>
        <v>2165</v>
      </c>
      <c r="E141" s="167">
        <v>6366</v>
      </c>
      <c r="F141" s="168">
        <f t="shared" si="5"/>
        <v>118.38765008576328</v>
      </c>
    </row>
    <row r="142" spans="1:6" s="157" customFormat="1" ht="19.5" customHeight="1">
      <c r="A142" s="86" t="s">
        <v>299</v>
      </c>
      <c r="B142" s="89"/>
      <c r="C142" s="86">
        <v>0</v>
      </c>
      <c r="D142" s="167">
        <f t="shared" si="4"/>
        <v>0</v>
      </c>
      <c r="E142" s="167">
        <v>0</v>
      </c>
      <c r="F142" s="168">
        <f t="shared" si="5"/>
        <v>0</v>
      </c>
    </row>
    <row r="143" spans="1:6" s="157" customFormat="1" ht="19.5" customHeight="1">
      <c r="A143" s="86" t="s">
        <v>300</v>
      </c>
      <c r="B143" s="89">
        <v>73493</v>
      </c>
      <c r="C143" s="86">
        <v>47413</v>
      </c>
      <c r="D143" s="167">
        <f t="shared" si="4"/>
        <v>25508</v>
      </c>
      <c r="E143" s="176">
        <v>72921</v>
      </c>
      <c r="F143" s="168">
        <f t="shared" si="5"/>
        <v>-0.7783054168424204</v>
      </c>
    </row>
    <row r="144" spans="1:6" s="157" customFormat="1" ht="19.5" customHeight="1">
      <c r="A144" s="86" t="s">
        <v>301</v>
      </c>
      <c r="C144" s="86">
        <v>0</v>
      </c>
      <c r="D144" s="167">
        <f t="shared" si="4"/>
        <v>0</v>
      </c>
      <c r="E144" s="167">
        <v>0</v>
      </c>
      <c r="F144" s="168">
        <f>IF(B145=0,,SUM(E144-B145)/B145*100)</f>
        <v>-100</v>
      </c>
    </row>
    <row r="145" spans="1:6" s="157" customFormat="1" ht="19.5" customHeight="1">
      <c r="A145" s="86" t="s">
        <v>302</v>
      </c>
      <c r="B145" s="89">
        <v>5365</v>
      </c>
      <c r="C145" s="86">
        <v>9579</v>
      </c>
      <c r="D145" s="167">
        <f t="shared" si="4"/>
        <v>-1776</v>
      </c>
      <c r="E145" s="167">
        <v>7803</v>
      </c>
      <c r="F145" s="168">
        <f>IF(B146=0,,SUM(E145-B146)/B146*100)</f>
        <v>1006.8085106382979</v>
      </c>
    </row>
    <row r="146" spans="1:6" s="157" customFormat="1" ht="19.5" customHeight="1">
      <c r="A146" s="86" t="s">
        <v>303</v>
      </c>
      <c r="B146" s="89">
        <v>705</v>
      </c>
      <c r="C146" s="86">
        <v>3300</v>
      </c>
      <c r="D146" s="167">
        <f t="shared" si="4"/>
        <v>-324</v>
      </c>
      <c r="E146" s="167">
        <v>2976</v>
      </c>
      <c r="F146" s="168">
        <f>IF(B147=0,,SUM(E146-B147)/B147*100)</f>
        <v>99100</v>
      </c>
    </row>
    <row r="147" spans="1:6" s="157" customFormat="1" ht="19.5" customHeight="1">
      <c r="A147" s="86" t="s">
        <v>304</v>
      </c>
      <c r="B147" s="89">
        <v>3</v>
      </c>
      <c r="C147" s="86">
        <v>0</v>
      </c>
      <c r="D147" s="167">
        <f t="shared" si="4"/>
        <v>0</v>
      </c>
      <c r="E147" s="167">
        <v>0</v>
      </c>
      <c r="F147" s="168">
        <f>IF(B148=0,,SUM(E147-B148)/B148*100)</f>
        <v>-100</v>
      </c>
    </row>
    <row r="148" spans="1:6" s="157" customFormat="1" ht="19.5" customHeight="1">
      <c r="A148" s="86" t="s">
        <v>305</v>
      </c>
      <c r="B148" s="89">
        <v>3197</v>
      </c>
      <c r="C148" s="86">
        <v>250</v>
      </c>
      <c r="D148" s="167">
        <f t="shared" si="4"/>
        <v>3725</v>
      </c>
      <c r="E148" s="167">
        <v>3975</v>
      </c>
      <c r="F148" s="168">
        <f>IF(B149=0,,SUM(E148-B149)/B149*100)</f>
        <v>100.25188916876576</v>
      </c>
    </row>
    <row r="149" spans="1:6" s="158" customFormat="1" ht="19.5" customHeight="1">
      <c r="A149" s="164" t="s">
        <v>306</v>
      </c>
      <c r="B149" s="129">
        <f>SUM(B150:B156)</f>
        <v>1985</v>
      </c>
      <c r="C149" s="129">
        <f>SUM(C150:C156)</f>
        <v>6384</v>
      </c>
      <c r="D149" s="129">
        <f>SUM(D150:D156)</f>
        <v>5856</v>
      </c>
      <c r="E149" s="129">
        <v>12240</v>
      </c>
      <c r="F149" s="165">
        <f t="shared" si="5"/>
        <v>516.6246851385391</v>
      </c>
    </row>
    <row r="150" spans="1:6" s="157" customFormat="1" ht="19.5" customHeight="1">
      <c r="A150" s="86" t="s">
        <v>307</v>
      </c>
      <c r="B150" s="89">
        <v>1557</v>
      </c>
      <c r="C150" s="86">
        <v>5095</v>
      </c>
      <c r="D150" s="167">
        <f t="shared" si="4"/>
        <v>5711</v>
      </c>
      <c r="E150" s="167">
        <v>10806</v>
      </c>
      <c r="F150" s="168">
        <f t="shared" si="5"/>
        <v>594.0269749518304</v>
      </c>
    </row>
    <row r="151" spans="1:6" s="157" customFormat="1" ht="19.5" customHeight="1">
      <c r="A151" s="86" t="s">
        <v>308</v>
      </c>
      <c r="B151" s="89">
        <v>32</v>
      </c>
      <c r="C151" s="86">
        <v>8</v>
      </c>
      <c r="D151" s="167">
        <f t="shared" si="4"/>
        <v>78</v>
      </c>
      <c r="E151" s="167">
        <v>86</v>
      </c>
      <c r="F151" s="168">
        <f t="shared" si="5"/>
        <v>168.75</v>
      </c>
    </row>
    <row r="152" spans="1:6" s="157" customFormat="1" ht="19.5" customHeight="1">
      <c r="A152" s="86" t="s">
        <v>309</v>
      </c>
      <c r="B152" s="89"/>
      <c r="C152" s="86">
        <v>0</v>
      </c>
      <c r="D152" s="167">
        <f t="shared" si="4"/>
        <v>0</v>
      </c>
      <c r="E152" s="167">
        <v>0</v>
      </c>
      <c r="F152" s="168">
        <f t="shared" si="5"/>
        <v>0</v>
      </c>
    </row>
    <row r="153" spans="1:6" s="157" customFormat="1" ht="19.5" customHeight="1">
      <c r="A153" s="86" t="s">
        <v>310</v>
      </c>
      <c r="B153" s="89"/>
      <c r="C153" s="86">
        <v>0</v>
      </c>
      <c r="D153" s="167">
        <f t="shared" si="4"/>
        <v>0</v>
      </c>
      <c r="E153" s="167">
        <v>0</v>
      </c>
      <c r="F153" s="168">
        <f t="shared" si="5"/>
        <v>0</v>
      </c>
    </row>
    <row r="154" spans="1:6" s="157" customFormat="1" ht="19.5" customHeight="1">
      <c r="A154" s="86" t="s">
        <v>311</v>
      </c>
      <c r="B154" s="89"/>
      <c r="C154" s="86">
        <v>0</v>
      </c>
      <c r="D154" s="167">
        <f t="shared" si="4"/>
        <v>0</v>
      </c>
      <c r="E154" s="167">
        <v>0</v>
      </c>
      <c r="F154" s="168">
        <f t="shared" si="5"/>
        <v>0</v>
      </c>
    </row>
    <row r="155" spans="1:6" s="157" customFormat="1" ht="19.5" customHeight="1">
      <c r="A155" s="86" t="s">
        <v>312</v>
      </c>
      <c r="B155" s="89">
        <v>396</v>
      </c>
      <c r="C155" s="86">
        <v>1281</v>
      </c>
      <c r="D155" s="167">
        <f t="shared" si="4"/>
        <v>-362</v>
      </c>
      <c r="E155" s="167">
        <v>919</v>
      </c>
      <c r="F155" s="168">
        <f t="shared" si="5"/>
        <v>132.07070707070707</v>
      </c>
    </row>
    <row r="156" spans="1:6" s="157" customFormat="1" ht="19.5" customHeight="1">
      <c r="A156" s="86" t="s">
        <v>313</v>
      </c>
      <c r="B156" s="89"/>
      <c r="C156" s="86">
        <v>0</v>
      </c>
      <c r="D156" s="167">
        <f t="shared" si="4"/>
        <v>429</v>
      </c>
      <c r="E156" s="167">
        <v>429</v>
      </c>
      <c r="F156" s="168">
        <f t="shared" si="5"/>
        <v>0</v>
      </c>
    </row>
    <row r="157" spans="1:6" s="158" customFormat="1" ht="19.5" customHeight="1">
      <c r="A157" s="164" t="s">
        <v>314</v>
      </c>
      <c r="B157" s="129">
        <f>SUM(B158:B164)</f>
        <v>2963</v>
      </c>
      <c r="C157" s="129">
        <f>SUM(C158:C164)</f>
        <v>1248</v>
      </c>
      <c r="D157" s="129">
        <f>SUM(D158:D164)</f>
        <v>1264</v>
      </c>
      <c r="E157" s="129">
        <v>2512</v>
      </c>
      <c r="F157" s="165">
        <f t="shared" si="5"/>
        <v>-15.22105973675329</v>
      </c>
    </row>
    <row r="158" spans="1:6" s="157" customFormat="1" ht="19.5" customHeight="1">
      <c r="A158" s="86" t="s">
        <v>315</v>
      </c>
      <c r="B158" s="89">
        <v>2222</v>
      </c>
      <c r="C158" s="86">
        <v>778</v>
      </c>
      <c r="D158" s="167">
        <f t="shared" si="4"/>
        <v>0</v>
      </c>
      <c r="E158" s="167">
        <v>778</v>
      </c>
      <c r="F158" s="168">
        <f t="shared" si="5"/>
        <v>-64.98649864986498</v>
      </c>
    </row>
    <row r="159" spans="1:6" s="157" customFormat="1" ht="19.5" customHeight="1">
      <c r="A159" s="86" t="s">
        <v>316</v>
      </c>
      <c r="B159" s="89">
        <v>100</v>
      </c>
      <c r="C159" s="86">
        <v>0</v>
      </c>
      <c r="D159" s="167">
        <f t="shared" si="4"/>
        <v>0</v>
      </c>
      <c r="E159" s="167">
        <v>0</v>
      </c>
      <c r="F159" s="168">
        <f t="shared" si="5"/>
        <v>-100</v>
      </c>
    </row>
    <row r="160" spans="1:6" s="157" customFormat="1" ht="19.5" customHeight="1">
      <c r="A160" s="86" t="s">
        <v>317</v>
      </c>
      <c r="B160" s="89">
        <v>0</v>
      </c>
      <c r="C160" s="86">
        <v>0</v>
      </c>
      <c r="D160" s="167">
        <f t="shared" si="4"/>
        <v>0</v>
      </c>
      <c r="E160" s="167">
        <v>0</v>
      </c>
      <c r="F160" s="168">
        <f t="shared" si="5"/>
        <v>0</v>
      </c>
    </row>
    <row r="161" spans="1:6" s="157" customFormat="1" ht="19.5" customHeight="1">
      <c r="A161" s="86" t="s">
        <v>318</v>
      </c>
      <c r="B161" s="89">
        <v>229</v>
      </c>
      <c r="C161" s="86">
        <v>0</v>
      </c>
      <c r="D161" s="167">
        <f t="shared" si="4"/>
        <v>109</v>
      </c>
      <c r="E161" s="167">
        <v>109</v>
      </c>
      <c r="F161" s="168">
        <f t="shared" si="5"/>
        <v>-52.40174672489083</v>
      </c>
    </row>
    <row r="162" spans="1:6" s="157" customFormat="1" ht="19.5" customHeight="1">
      <c r="A162" s="86" t="s">
        <v>319</v>
      </c>
      <c r="B162" s="89">
        <v>1</v>
      </c>
      <c r="C162" s="86">
        <v>2</v>
      </c>
      <c r="D162" s="167">
        <f t="shared" si="4"/>
        <v>1</v>
      </c>
      <c r="E162" s="167">
        <v>3</v>
      </c>
      <c r="F162" s="168">
        <f t="shared" si="5"/>
        <v>200</v>
      </c>
    </row>
    <row r="163" spans="1:6" s="157" customFormat="1" ht="19.5" customHeight="1">
      <c r="A163" s="86" t="s">
        <v>320</v>
      </c>
      <c r="B163" s="89">
        <v>158</v>
      </c>
      <c r="C163" s="86">
        <v>75</v>
      </c>
      <c r="D163" s="167">
        <f t="shared" si="4"/>
        <v>284</v>
      </c>
      <c r="E163" s="167">
        <v>359</v>
      </c>
      <c r="F163" s="168">
        <f t="shared" si="5"/>
        <v>127.21518987341771</v>
      </c>
    </row>
    <row r="164" spans="1:6" s="157" customFormat="1" ht="19.5" customHeight="1">
      <c r="A164" s="86" t="s">
        <v>321</v>
      </c>
      <c r="B164" s="89">
        <v>253</v>
      </c>
      <c r="C164" s="86">
        <v>393</v>
      </c>
      <c r="D164" s="167">
        <f t="shared" si="4"/>
        <v>870</v>
      </c>
      <c r="E164" s="167">
        <v>1263</v>
      </c>
      <c r="F164" s="168">
        <f t="shared" si="5"/>
        <v>399.20948616600793</v>
      </c>
    </row>
    <row r="165" spans="1:6" s="158" customFormat="1" ht="19.5" customHeight="1">
      <c r="A165" s="164" t="s">
        <v>322</v>
      </c>
      <c r="B165" s="129">
        <f>SUM(B166:B168)</f>
        <v>139</v>
      </c>
      <c r="C165" s="129">
        <f>SUM(C166:C168)</f>
        <v>546</v>
      </c>
      <c r="D165" s="129">
        <f>SUM(D166:D168)</f>
        <v>185</v>
      </c>
      <c r="E165" s="129">
        <v>731</v>
      </c>
      <c r="F165" s="165">
        <f t="shared" si="5"/>
        <v>425.8992805755396</v>
      </c>
    </row>
    <row r="166" spans="1:6" s="157" customFormat="1" ht="19.5" customHeight="1">
      <c r="A166" s="86" t="s">
        <v>323</v>
      </c>
      <c r="B166" s="89">
        <v>139</v>
      </c>
      <c r="C166" s="86">
        <v>546</v>
      </c>
      <c r="D166" s="167">
        <f t="shared" si="4"/>
        <v>185</v>
      </c>
      <c r="E166" s="167">
        <v>731</v>
      </c>
      <c r="F166" s="168">
        <f t="shared" si="5"/>
        <v>425.8992805755396</v>
      </c>
    </row>
    <row r="167" spans="1:6" s="157" customFormat="1" ht="19.5" customHeight="1">
      <c r="A167" s="86" t="s">
        <v>324</v>
      </c>
      <c r="B167" s="89"/>
      <c r="C167" s="86">
        <v>0</v>
      </c>
      <c r="D167" s="167">
        <f t="shared" si="4"/>
        <v>0</v>
      </c>
      <c r="E167" s="167">
        <v>0</v>
      </c>
      <c r="F167" s="168">
        <f t="shared" si="5"/>
        <v>0</v>
      </c>
    </row>
    <row r="168" spans="1:6" s="157" customFormat="1" ht="19.5" customHeight="1">
      <c r="A168" s="86" t="s">
        <v>325</v>
      </c>
      <c r="B168" s="89"/>
      <c r="C168" s="86">
        <v>0</v>
      </c>
      <c r="D168" s="167">
        <f t="shared" si="4"/>
        <v>0</v>
      </c>
      <c r="E168" s="167">
        <v>0</v>
      </c>
      <c r="F168" s="168">
        <f t="shared" si="5"/>
        <v>0</v>
      </c>
    </row>
    <row r="169" spans="1:6" s="158" customFormat="1" ht="19.5" customHeight="1">
      <c r="A169" s="164" t="s">
        <v>326</v>
      </c>
      <c r="B169" s="129">
        <f>SUM(B170:B172)</f>
        <v>520</v>
      </c>
      <c r="C169" s="129">
        <f>SUM(C170:C172)</f>
        <v>2067</v>
      </c>
      <c r="D169" s="129">
        <f>SUM(D170:D172)</f>
        <v>-503</v>
      </c>
      <c r="E169" s="129">
        <v>1564</v>
      </c>
      <c r="F169" s="165">
        <f t="shared" si="5"/>
        <v>200.76923076923077</v>
      </c>
    </row>
    <row r="170" spans="1:6" s="157" customFormat="1" ht="19.5" customHeight="1">
      <c r="A170" s="86" t="s">
        <v>327</v>
      </c>
      <c r="B170" s="89"/>
      <c r="C170" s="86"/>
      <c r="D170" s="167">
        <f t="shared" si="4"/>
        <v>0</v>
      </c>
      <c r="E170" s="167">
        <v>0</v>
      </c>
      <c r="F170" s="168">
        <f t="shared" si="5"/>
        <v>0</v>
      </c>
    </row>
    <row r="171" spans="1:6" s="157" customFormat="1" ht="19.5" customHeight="1">
      <c r="A171" s="86" t="s">
        <v>328</v>
      </c>
      <c r="B171" s="89">
        <v>513</v>
      </c>
      <c r="C171" s="86">
        <v>2067</v>
      </c>
      <c r="D171" s="167">
        <f t="shared" si="4"/>
        <v>-503</v>
      </c>
      <c r="E171" s="167">
        <v>1564</v>
      </c>
      <c r="F171" s="168">
        <f t="shared" si="5"/>
        <v>204.87329434697855</v>
      </c>
    </row>
    <row r="172" spans="1:6" s="157" customFormat="1" ht="19.5" customHeight="1">
      <c r="A172" s="86" t="s">
        <v>329</v>
      </c>
      <c r="B172" s="89">
        <v>7</v>
      </c>
      <c r="C172" s="86"/>
      <c r="D172" s="167">
        <f t="shared" si="4"/>
        <v>0</v>
      </c>
      <c r="E172" s="167">
        <v>0</v>
      </c>
      <c r="F172" s="168">
        <f t="shared" si="5"/>
        <v>-100</v>
      </c>
    </row>
    <row r="173" spans="1:6" s="158" customFormat="1" ht="19.5" customHeight="1">
      <c r="A173" s="164" t="s">
        <v>330</v>
      </c>
      <c r="B173" s="129">
        <v>0</v>
      </c>
      <c r="C173" s="164">
        <v>0</v>
      </c>
      <c r="D173" s="177">
        <f t="shared" si="4"/>
        <v>0</v>
      </c>
      <c r="E173" s="177">
        <v>0</v>
      </c>
      <c r="F173" s="165">
        <f t="shared" si="5"/>
        <v>0</v>
      </c>
    </row>
    <row r="174" spans="1:6" s="157" customFormat="1" ht="14.25" customHeight="1">
      <c r="A174" s="86" t="s">
        <v>112</v>
      </c>
      <c r="B174" s="89"/>
      <c r="C174" s="86"/>
      <c r="D174" s="167">
        <f t="shared" si="4"/>
        <v>0</v>
      </c>
      <c r="E174" s="167">
        <v>0</v>
      </c>
      <c r="F174" s="168">
        <f t="shared" si="5"/>
        <v>0</v>
      </c>
    </row>
    <row r="175" spans="1:6" s="157" customFormat="1" ht="14.25" customHeight="1">
      <c r="A175" s="86" t="s">
        <v>116</v>
      </c>
      <c r="B175" s="89"/>
      <c r="C175" s="86"/>
      <c r="D175" s="167">
        <f t="shared" si="4"/>
        <v>0</v>
      </c>
      <c r="E175" s="167">
        <v>0</v>
      </c>
      <c r="F175" s="168">
        <f t="shared" si="5"/>
        <v>0</v>
      </c>
    </row>
    <row r="176" spans="1:6" s="157" customFormat="1" ht="14.25" customHeight="1">
      <c r="A176" s="86" t="s">
        <v>119</v>
      </c>
      <c r="B176" s="89"/>
      <c r="C176" s="86"/>
      <c r="D176" s="167">
        <f t="shared" si="4"/>
        <v>0</v>
      </c>
      <c r="E176" s="167">
        <v>0</v>
      </c>
      <c r="F176" s="168">
        <f t="shared" si="5"/>
        <v>0</v>
      </c>
    </row>
    <row r="177" spans="1:6" s="157" customFormat="1" ht="14.25" customHeight="1">
      <c r="A177" s="86" t="s">
        <v>122</v>
      </c>
      <c r="B177" s="89"/>
      <c r="C177" s="86"/>
      <c r="D177" s="167">
        <f t="shared" si="4"/>
        <v>0</v>
      </c>
      <c r="E177" s="167">
        <v>0</v>
      </c>
      <c r="F177" s="168">
        <f t="shared" si="5"/>
        <v>0</v>
      </c>
    </row>
    <row r="178" spans="1:6" s="157" customFormat="1" ht="14.25" customHeight="1">
      <c r="A178" s="86" t="s">
        <v>123</v>
      </c>
      <c r="B178" s="89"/>
      <c r="C178" s="86"/>
      <c r="D178" s="167">
        <f t="shared" si="4"/>
        <v>0</v>
      </c>
      <c r="E178" s="167">
        <v>0</v>
      </c>
      <c r="F178" s="168">
        <f t="shared" si="5"/>
        <v>0</v>
      </c>
    </row>
    <row r="179" spans="1:6" s="157" customFormat="1" ht="14.25" customHeight="1">
      <c r="A179" s="86" t="s">
        <v>296</v>
      </c>
      <c r="B179" s="89"/>
      <c r="C179" s="86"/>
      <c r="D179" s="167">
        <f t="shared" si="4"/>
        <v>0</v>
      </c>
      <c r="E179" s="167">
        <v>0</v>
      </c>
      <c r="F179" s="168">
        <f t="shared" si="5"/>
        <v>0</v>
      </c>
    </row>
    <row r="180" spans="1:6" s="157" customFormat="1" ht="14.25" customHeight="1">
      <c r="A180" s="86" t="s">
        <v>126</v>
      </c>
      <c r="B180" s="89"/>
      <c r="C180" s="86"/>
      <c r="D180" s="167">
        <f t="shared" si="4"/>
        <v>0</v>
      </c>
      <c r="E180" s="167">
        <v>0</v>
      </c>
      <c r="F180" s="168">
        <f t="shared" si="5"/>
        <v>0</v>
      </c>
    </row>
    <row r="181" spans="1:6" s="157" customFormat="1" ht="14.25" customHeight="1">
      <c r="A181" s="86" t="s">
        <v>132</v>
      </c>
      <c r="B181" s="89"/>
      <c r="C181" s="86"/>
      <c r="D181" s="167">
        <f t="shared" si="4"/>
        <v>0</v>
      </c>
      <c r="E181" s="167">
        <v>0</v>
      </c>
      <c r="F181" s="168">
        <f t="shared" si="5"/>
        <v>0</v>
      </c>
    </row>
    <row r="182" spans="1:6" s="157" customFormat="1" ht="19.5" customHeight="1">
      <c r="A182" s="86" t="s">
        <v>135</v>
      </c>
      <c r="B182" s="89"/>
      <c r="C182" s="86"/>
      <c r="D182" s="167">
        <f t="shared" si="4"/>
        <v>0</v>
      </c>
      <c r="E182" s="167">
        <v>0</v>
      </c>
      <c r="F182" s="168">
        <f t="shared" si="5"/>
        <v>0</v>
      </c>
    </row>
    <row r="183" spans="1:6" s="158" customFormat="1" ht="19.5" customHeight="1">
      <c r="A183" s="164" t="s">
        <v>331</v>
      </c>
      <c r="B183" s="129">
        <f>SUM(B184:B188)</f>
        <v>1478</v>
      </c>
      <c r="C183" s="129">
        <f>SUM(C184:C188)</f>
        <v>1095</v>
      </c>
      <c r="D183" s="129">
        <f>SUM(D184:D188)</f>
        <v>861</v>
      </c>
      <c r="E183" s="129">
        <v>1956</v>
      </c>
      <c r="F183" s="165">
        <f t="shared" si="5"/>
        <v>32.34100135317997</v>
      </c>
    </row>
    <row r="184" spans="1:6" s="157" customFormat="1" ht="19.5" customHeight="1">
      <c r="A184" s="86" t="s">
        <v>332</v>
      </c>
      <c r="B184" s="89">
        <v>1331</v>
      </c>
      <c r="C184" s="147">
        <v>944</v>
      </c>
      <c r="D184" s="167">
        <f t="shared" si="4"/>
        <v>853</v>
      </c>
      <c r="E184" s="167">
        <v>1797</v>
      </c>
      <c r="F184" s="168">
        <f t="shared" si="5"/>
        <v>35.01126972201352</v>
      </c>
    </row>
    <row r="185" spans="1:6" s="157" customFormat="1" ht="19.5" customHeight="1">
      <c r="A185" s="86" t="s">
        <v>333</v>
      </c>
      <c r="B185" s="89"/>
      <c r="C185" s="147">
        <v>0</v>
      </c>
      <c r="D185" s="167">
        <f t="shared" si="4"/>
        <v>0</v>
      </c>
      <c r="E185" s="167">
        <v>0</v>
      </c>
      <c r="F185" s="168">
        <f t="shared" si="5"/>
        <v>0</v>
      </c>
    </row>
    <row r="186" spans="1:6" s="157" customFormat="1" ht="19.5" customHeight="1">
      <c r="A186" s="86" t="s">
        <v>334</v>
      </c>
      <c r="B186" s="89"/>
      <c r="C186" s="147">
        <v>0</v>
      </c>
      <c r="D186" s="167">
        <f t="shared" si="4"/>
        <v>0</v>
      </c>
      <c r="E186" s="167">
        <v>0</v>
      </c>
      <c r="F186" s="168">
        <f t="shared" si="5"/>
        <v>0</v>
      </c>
    </row>
    <row r="187" spans="1:6" s="157" customFormat="1" ht="19.5" customHeight="1">
      <c r="A187" s="86" t="s">
        <v>335</v>
      </c>
      <c r="B187" s="89">
        <v>147</v>
      </c>
      <c r="C187" s="147">
        <v>151</v>
      </c>
      <c r="D187" s="167">
        <f t="shared" si="4"/>
        <v>8</v>
      </c>
      <c r="E187" s="167">
        <v>159</v>
      </c>
      <c r="F187" s="168">
        <f t="shared" si="5"/>
        <v>8.16326530612245</v>
      </c>
    </row>
    <row r="188" spans="1:6" s="157" customFormat="1" ht="19.5" customHeight="1">
      <c r="A188" s="86" t="s">
        <v>336</v>
      </c>
      <c r="B188" s="89"/>
      <c r="C188" s="86"/>
      <c r="D188" s="167">
        <f t="shared" si="4"/>
        <v>0</v>
      </c>
      <c r="E188" s="167">
        <v>0</v>
      </c>
      <c r="F188" s="168">
        <f t="shared" si="5"/>
        <v>0</v>
      </c>
    </row>
    <row r="189" spans="1:6" s="158" customFormat="1" ht="19.5" customHeight="1">
      <c r="A189" s="164" t="s">
        <v>337</v>
      </c>
      <c r="B189" s="129">
        <f>SUM(B190:B192)</f>
        <v>3911</v>
      </c>
      <c r="C189" s="129">
        <f>SUM(C190:C192)</f>
        <v>2997</v>
      </c>
      <c r="D189" s="129">
        <f>SUM(D190:D192)</f>
        <v>2504</v>
      </c>
      <c r="E189" s="129">
        <v>5501</v>
      </c>
      <c r="F189" s="165">
        <f t="shared" si="5"/>
        <v>40.65456405011506</v>
      </c>
    </row>
    <row r="190" spans="1:6" s="157" customFormat="1" ht="19.5" customHeight="1">
      <c r="A190" s="86" t="s">
        <v>338</v>
      </c>
      <c r="B190" s="89">
        <v>1293</v>
      </c>
      <c r="C190" s="86">
        <v>224</v>
      </c>
      <c r="D190" s="167">
        <f t="shared" si="4"/>
        <v>504</v>
      </c>
      <c r="E190" s="167">
        <v>728</v>
      </c>
      <c r="F190" s="168">
        <f t="shared" si="5"/>
        <v>-43.69682907965971</v>
      </c>
    </row>
    <row r="191" spans="1:6" s="157" customFormat="1" ht="19.5" customHeight="1">
      <c r="A191" s="86" t="s">
        <v>339</v>
      </c>
      <c r="B191" s="89">
        <v>2518</v>
      </c>
      <c r="C191" s="86">
        <v>2773</v>
      </c>
      <c r="D191" s="167">
        <f t="shared" si="4"/>
        <v>2000</v>
      </c>
      <c r="E191" s="167">
        <v>4773</v>
      </c>
      <c r="F191" s="168">
        <f t="shared" si="5"/>
        <v>89.55520254169976</v>
      </c>
    </row>
    <row r="192" spans="1:6" s="157" customFormat="1" ht="19.5" customHeight="1">
      <c r="A192" s="86" t="s">
        <v>340</v>
      </c>
      <c r="B192" s="89">
        <v>100</v>
      </c>
      <c r="C192" s="86">
        <v>0</v>
      </c>
      <c r="D192" s="167">
        <f t="shared" si="4"/>
        <v>0</v>
      </c>
      <c r="E192" s="167">
        <v>0</v>
      </c>
      <c r="F192" s="168">
        <f t="shared" si="5"/>
        <v>-100</v>
      </c>
    </row>
    <row r="193" spans="1:6" s="158" customFormat="1" ht="19.5" customHeight="1">
      <c r="A193" s="164" t="s">
        <v>341</v>
      </c>
      <c r="B193" s="129">
        <f>SUM(B194:B198)</f>
        <v>94</v>
      </c>
      <c r="C193" s="129">
        <f>SUM(C194:C198)</f>
        <v>126</v>
      </c>
      <c r="D193" s="129">
        <f>SUM(D194:D198)</f>
        <v>2</v>
      </c>
      <c r="E193" s="129">
        <v>128</v>
      </c>
      <c r="F193" s="165">
        <f t="shared" si="5"/>
        <v>36.17021276595745</v>
      </c>
    </row>
    <row r="194" spans="1:6" s="157" customFormat="1" ht="19.5" customHeight="1">
      <c r="A194" s="86" t="s">
        <v>342</v>
      </c>
      <c r="B194" s="89">
        <v>94</v>
      </c>
      <c r="C194" s="86">
        <v>126</v>
      </c>
      <c r="D194" s="167">
        <f t="shared" si="4"/>
        <v>2</v>
      </c>
      <c r="E194" s="167">
        <v>128</v>
      </c>
      <c r="F194" s="168">
        <f t="shared" si="5"/>
        <v>36.17021276595745</v>
      </c>
    </row>
    <row r="195" spans="1:6" s="157" customFormat="1" ht="19.5" customHeight="1">
      <c r="A195" s="86" t="s">
        <v>343</v>
      </c>
      <c r="B195" s="89"/>
      <c r="C195" s="86"/>
      <c r="D195" s="167">
        <f t="shared" si="4"/>
        <v>0</v>
      </c>
      <c r="E195" s="167">
        <v>0</v>
      </c>
      <c r="F195" s="168">
        <f t="shared" si="5"/>
        <v>0</v>
      </c>
    </row>
    <row r="196" spans="1:6" s="157" customFormat="1" ht="19.5" customHeight="1">
      <c r="A196" s="86" t="s">
        <v>344</v>
      </c>
      <c r="B196" s="89"/>
      <c r="C196" s="86"/>
      <c r="D196" s="167">
        <f t="shared" si="4"/>
        <v>0</v>
      </c>
      <c r="E196" s="167">
        <v>0</v>
      </c>
      <c r="F196" s="168">
        <f t="shared" si="5"/>
        <v>0</v>
      </c>
    </row>
    <row r="197" spans="1:6" s="157" customFormat="1" ht="19.5" customHeight="1">
      <c r="A197" s="86" t="s">
        <v>345</v>
      </c>
      <c r="B197" s="89"/>
      <c r="C197" s="86"/>
      <c r="D197" s="167">
        <f aca="true" t="shared" si="6" ref="D197:D216">E197-C197</f>
        <v>0</v>
      </c>
      <c r="E197" s="167">
        <v>0</v>
      </c>
      <c r="F197" s="168">
        <f t="shared" si="5"/>
        <v>0</v>
      </c>
    </row>
    <row r="198" spans="1:6" s="157" customFormat="1" ht="19.5" customHeight="1">
      <c r="A198" s="86" t="s">
        <v>346</v>
      </c>
      <c r="B198" s="89"/>
      <c r="C198" s="86"/>
      <c r="D198" s="167">
        <f t="shared" si="6"/>
        <v>0</v>
      </c>
      <c r="E198" s="167">
        <v>0</v>
      </c>
      <c r="F198" s="168">
        <f t="shared" si="5"/>
        <v>0</v>
      </c>
    </row>
    <row r="199" spans="1:6" s="158" customFormat="1" ht="19.5" customHeight="1">
      <c r="A199" s="178" t="s">
        <v>347</v>
      </c>
      <c r="B199" s="129">
        <f>SUM(B200:B207)</f>
        <v>2174</v>
      </c>
      <c r="C199" s="129">
        <f>SUM(C200:C207)</f>
        <v>4597</v>
      </c>
      <c r="D199" s="129">
        <f>SUM(D200:D207)</f>
        <v>608</v>
      </c>
      <c r="E199" s="129">
        <v>5205</v>
      </c>
      <c r="F199" s="165">
        <f t="shared" si="5"/>
        <v>139.42042318307267</v>
      </c>
    </row>
    <row r="200" spans="1:6" s="157" customFormat="1" ht="19.5" customHeight="1">
      <c r="A200" s="60" t="s">
        <v>348</v>
      </c>
      <c r="B200" s="89">
        <v>574</v>
      </c>
      <c r="C200" s="86">
        <v>493</v>
      </c>
      <c r="D200" s="167">
        <f t="shared" si="6"/>
        <v>12</v>
      </c>
      <c r="E200" s="167">
        <v>505</v>
      </c>
      <c r="F200" s="168">
        <f t="shared" si="5"/>
        <v>-12.020905923344948</v>
      </c>
    </row>
    <row r="201" spans="1:6" s="157" customFormat="1" ht="19.5" customHeight="1">
      <c r="A201" s="60" t="s">
        <v>349</v>
      </c>
      <c r="B201" s="89">
        <v>872</v>
      </c>
      <c r="C201" s="86">
        <v>856</v>
      </c>
      <c r="D201" s="167">
        <f t="shared" si="6"/>
        <v>391</v>
      </c>
      <c r="E201" s="167">
        <v>1247</v>
      </c>
      <c r="F201" s="168">
        <f t="shared" si="5"/>
        <v>43.0045871559633</v>
      </c>
    </row>
    <row r="202" spans="1:6" s="157" customFormat="1" ht="19.5" customHeight="1">
      <c r="A202" s="60" t="s">
        <v>350</v>
      </c>
      <c r="B202" s="89">
        <v>0</v>
      </c>
      <c r="C202" s="86">
        <v>0</v>
      </c>
      <c r="D202" s="167">
        <f t="shared" si="6"/>
        <v>0</v>
      </c>
      <c r="E202" s="167">
        <v>0</v>
      </c>
      <c r="F202" s="168">
        <f aca="true" t="shared" si="7" ref="F202:F207">IF(B202=0,,SUM(E202-B202)/B202*100)</f>
        <v>0</v>
      </c>
    </row>
    <row r="203" spans="1:6" s="157" customFormat="1" ht="19.5" customHeight="1">
      <c r="A203" s="60" t="s">
        <v>351</v>
      </c>
      <c r="B203" s="89">
        <v>0</v>
      </c>
      <c r="C203" s="86">
        <v>0</v>
      </c>
      <c r="D203" s="167">
        <f t="shared" si="6"/>
        <v>0</v>
      </c>
      <c r="E203" s="167">
        <v>0</v>
      </c>
      <c r="F203" s="168">
        <f t="shared" si="7"/>
        <v>0</v>
      </c>
    </row>
    <row r="204" spans="1:6" s="157" customFormat="1" ht="19.5" customHeight="1">
      <c r="A204" s="60" t="s">
        <v>352</v>
      </c>
      <c r="B204" s="89">
        <v>0</v>
      </c>
      <c r="C204" s="86">
        <v>0</v>
      </c>
      <c r="D204" s="167">
        <f t="shared" si="6"/>
        <v>0</v>
      </c>
      <c r="E204" s="167">
        <v>0</v>
      </c>
      <c r="F204" s="168">
        <f t="shared" si="7"/>
        <v>0</v>
      </c>
    </row>
    <row r="205" spans="1:6" s="157" customFormat="1" ht="19.5" customHeight="1">
      <c r="A205" s="60" t="s">
        <v>353</v>
      </c>
      <c r="B205" s="89">
        <v>415</v>
      </c>
      <c r="C205" s="86">
        <v>2660</v>
      </c>
      <c r="D205" s="167">
        <f t="shared" si="6"/>
        <v>-400</v>
      </c>
      <c r="E205" s="167">
        <v>2260</v>
      </c>
      <c r="F205" s="168">
        <f t="shared" si="7"/>
        <v>444.5783132530121</v>
      </c>
    </row>
    <row r="206" spans="1:6" s="157" customFormat="1" ht="19.5" customHeight="1">
      <c r="A206" s="60" t="s">
        <v>354</v>
      </c>
      <c r="B206" s="89">
        <v>178</v>
      </c>
      <c r="C206" s="86">
        <v>423</v>
      </c>
      <c r="D206" s="167">
        <f t="shared" si="6"/>
        <v>100</v>
      </c>
      <c r="E206" s="167">
        <v>523</v>
      </c>
      <c r="F206" s="168">
        <f t="shared" si="7"/>
        <v>193.82022471910113</v>
      </c>
    </row>
    <row r="207" spans="1:6" s="157" customFormat="1" ht="19.5" customHeight="1">
      <c r="A207" s="60" t="s">
        <v>355</v>
      </c>
      <c r="B207" s="89">
        <v>135</v>
      </c>
      <c r="C207" s="86">
        <v>165</v>
      </c>
      <c r="D207" s="167">
        <f t="shared" si="6"/>
        <v>505</v>
      </c>
      <c r="E207" s="167">
        <v>670</v>
      </c>
      <c r="F207" s="168">
        <f t="shared" si="7"/>
        <v>396.2962962962963</v>
      </c>
    </row>
    <row r="208" spans="1:6" s="158" customFormat="1" ht="19.5" customHeight="1">
      <c r="A208" s="255" t="s">
        <v>356</v>
      </c>
      <c r="B208" s="164"/>
      <c r="C208" s="164">
        <v>1500</v>
      </c>
      <c r="D208" s="177">
        <f t="shared" si="6"/>
        <v>-1500</v>
      </c>
      <c r="E208" s="177">
        <v>0</v>
      </c>
      <c r="F208" s="165">
        <f aca="true" t="shared" si="8" ref="F208:F216">IF(B208=0,,SUM(E208-B208)/B208*100)</f>
        <v>0</v>
      </c>
    </row>
    <row r="209" spans="1:6" s="158" customFormat="1" ht="19.5" customHeight="1">
      <c r="A209" s="255" t="s">
        <v>357</v>
      </c>
      <c r="B209" s="164">
        <f>SUM(B210)</f>
        <v>3966</v>
      </c>
      <c r="C209" s="164">
        <f>SUM(C210)</f>
        <v>4411</v>
      </c>
      <c r="D209" s="164">
        <f>SUM(D210)</f>
        <v>-526</v>
      </c>
      <c r="E209" s="164">
        <v>3885</v>
      </c>
      <c r="F209" s="165">
        <f t="shared" si="8"/>
        <v>-2.042360060514372</v>
      </c>
    </row>
    <row r="210" spans="1:6" s="157" customFormat="1" ht="19.5" customHeight="1">
      <c r="A210" s="86" t="s">
        <v>358</v>
      </c>
      <c r="B210" s="86">
        <v>3966</v>
      </c>
      <c r="C210" s="86">
        <v>4411</v>
      </c>
      <c r="D210" s="167">
        <f t="shared" si="6"/>
        <v>-526</v>
      </c>
      <c r="E210" s="167">
        <v>3885</v>
      </c>
      <c r="F210" s="168">
        <f t="shared" si="8"/>
        <v>-2.042360060514372</v>
      </c>
    </row>
    <row r="211" spans="1:6" s="158" customFormat="1" ht="19.5" customHeight="1">
      <c r="A211" s="255" t="s">
        <v>359</v>
      </c>
      <c r="B211" s="164">
        <f>SUM(B212)</f>
        <v>27</v>
      </c>
      <c r="C211" s="164">
        <f>SUM(C212)</f>
        <v>0</v>
      </c>
      <c r="D211" s="164">
        <f>SUM(D212)</f>
        <v>2</v>
      </c>
      <c r="E211" s="164">
        <v>2</v>
      </c>
      <c r="F211" s="165">
        <f t="shared" si="8"/>
        <v>-92.5925925925926</v>
      </c>
    </row>
    <row r="212" spans="1:6" ht="19.5" customHeight="1">
      <c r="A212" s="254" t="s">
        <v>360</v>
      </c>
      <c r="B212" s="86">
        <v>27</v>
      </c>
      <c r="C212" s="86"/>
      <c r="D212" s="167">
        <f t="shared" si="6"/>
        <v>2</v>
      </c>
      <c r="E212" s="167">
        <v>2</v>
      </c>
      <c r="F212" s="168"/>
    </row>
    <row r="213" spans="1:12" s="160" customFormat="1" ht="19.5" customHeight="1">
      <c r="A213" s="255" t="s">
        <v>361</v>
      </c>
      <c r="B213" s="164">
        <f>SUM(B214:B215)</f>
        <v>626</v>
      </c>
      <c r="C213" s="164">
        <f>SUM(C214:C215)</f>
        <v>348</v>
      </c>
      <c r="D213" s="164">
        <f>SUM(D214:D215)</f>
        <v>18</v>
      </c>
      <c r="E213" s="164">
        <v>366</v>
      </c>
      <c r="F213" s="165">
        <f t="shared" si="8"/>
        <v>-41.533546325878596</v>
      </c>
      <c r="L213" s="256" t="s">
        <v>362</v>
      </c>
    </row>
    <row r="214" spans="1:6" ht="19.5" customHeight="1">
      <c r="A214" s="86" t="s">
        <v>363</v>
      </c>
      <c r="B214" s="86"/>
      <c r="C214" s="86"/>
      <c r="D214" s="167">
        <f t="shared" si="6"/>
        <v>0</v>
      </c>
      <c r="E214" s="167">
        <v>0</v>
      </c>
      <c r="F214" s="168">
        <f t="shared" si="8"/>
        <v>0</v>
      </c>
    </row>
    <row r="215" spans="1:6" ht="19.5" customHeight="1">
      <c r="A215" s="86" t="s">
        <v>364</v>
      </c>
      <c r="B215" s="86">
        <v>626</v>
      </c>
      <c r="C215" s="86">
        <v>348</v>
      </c>
      <c r="D215" s="167">
        <f t="shared" si="6"/>
        <v>18</v>
      </c>
      <c r="E215" s="167">
        <v>366</v>
      </c>
      <c r="F215" s="168">
        <f t="shared" si="8"/>
        <v>-41.533546325878596</v>
      </c>
    </row>
    <row r="216" spans="1:6" s="160" customFormat="1" ht="19.5" customHeight="1">
      <c r="A216" s="180" t="s">
        <v>365</v>
      </c>
      <c r="B216" s="177">
        <f>B4+B32+B35+B38+B50+B61+B72+B79+B101+B115+B131+B138+B149+B157+B165+B169+B173+B183+B189+B193+B199+B208+B209+B211+B213</f>
        <v>286316</v>
      </c>
      <c r="C216" s="177">
        <f>C4+C32+C35+C38+C50+C61+C72+C79+C101+C115+C131+C138+C149+C157+C165+C169+C173+C183+C189+C193+C199+C208+C209+C211+C213</f>
        <v>321854</v>
      </c>
      <c r="D216" s="177">
        <f>D4+D32+D35+D38+D50+D61+D72+D79+D101+D115+D131+D138+D149+D157+D165+D169+D173+D183+D189+D193+D199+D208+D209+D211+D213</f>
        <v>64399</v>
      </c>
      <c r="E216" s="177">
        <f>E4+E32+E35+E38+E50+E61+E72+E79+E101+E115+E131+E138+E149+E157+E165+E169+E173+E183+E189+E193+E199+E208+E209+E211+E213</f>
        <v>386253</v>
      </c>
      <c r="F216" s="165">
        <f t="shared" si="8"/>
        <v>34.90444124673438</v>
      </c>
    </row>
    <row r="218" ht="14.25">
      <c r="E218" s="181"/>
    </row>
  </sheetData>
  <sheetProtection/>
  <mergeCells count="1">
    <mergeCell ref="A1:F1"/>
  </mergeCells>
  <printOptions horizontalCentered="1"/>
  <pageMargins left="0.35433070866141736" right="0.35433070866141736" top="0.5905511811023623" bottom="0.5905511811023623" header="0.5118110236220472" footer="0.5118110236220472"/>
  <pageSetup blackAndWhite="1" fitToHeight="2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8"/>
  <sheetViews>
    <sheetView showZeros="0" workbookViewId="0" topLeftCell="A1">
      <pane xSplit="5" ySplit="7" topLeftCell="F8" activePane="bottomRight" state="frozen"/>
      <selection pane="bottomRight" activeCell="S5" sqref="A5:IV5"/>
    </sheetView>
  </sheetViews>
  <sheetFormatPr defaultColWidth="9.125" defaultRowHeight="14.25"/>
  <cols>
    <col min="1" max="1" width="9.00390625" style="27" customWidth="1"/>
    <col min="2" max="2" width="30.00390625" style="27" customWidth="1"/>
    <col min="3" max="3" width="11.125" style="27" customWidth="1"/>
    <col min="4" max="4" width="9.75390625" style="27" customWidth="1"/>
    <col min="5" max="5" width="9.25390625" style="27" customWidth="1"/>
    <col min="6" max="6" width="10.50390625" style="108" customWidth="1"/>
    <col min="7" max="8" width="9.375" style="27" customWidth="1"/>
    <col min="9" max="9" width="8.25390625" style="27" customWidth="1"/>
    <col min="10" max="10" width="8.00390625" style="27" customWidth="1"/>
    <col min="11" max="11" width="11.875" style="27" customWidth="1"/>
    <col min="12" max="12" width="8.875" style="27" customWidth="1"/>
    <col min="13" max="13" width="8.625" style="27" customWidth="1"/>
    <col min="14" max="14" width="8.75390625" style="27" customWidth="1"/>
    <col min="15" max="17" width="9.00390625" style="27" customWidth="1"/>
    <col min="18" max="18" width="9.75390625" style="27" customWidth="1"/>
    <col min="19" max="19" width="9.125" style="109" customWidth="1"/>
    <col min="20" max="221" width="9.125" style="27" customWidth="1"/>
    <col min="222" max="16384" width="9.125" style="27" customWidth="1"/>
  </cols>
  <sheetData>
    <row r="1" spans="1:19" ht="30" customHeight="1">
      <c r="A1" s="257" t="s">
        <v>366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42"/>
    </row>
    <row r="2" spans="1:18" ht="16.5" customHeight="1">
      <c r="A2" s="111"/>
      <c r="B2" s="111"/>
      <c r="C2" s="111"/>
      <c r="D2" s="112"/>
      <c r="E2" s="112"/>
      <c r="F2" s="113"/>
      <c r="G2" s="112"/>
      <c r="H2" s="112"/>
      <c r="I2" s="112"/>
      <c r="J2" s="112"/>
      <c r="K2" s="137"/>
      <c r="L2" s="112"/>
      <c r="M2" s="112"/>
      <c r="N2" s="137"/>
      <c r="O2" s="112" t="s">
        <v>1</v>
      </c>
      <c r="P2" s="111"/>
      <c r="Q2" s="111"/>
      <c r="R2" s="111"/>
    </row>
    <row r="3" spans="1:18" ht="16.5" customHeight="1">
      <c r="A3" s="114" t="s">
        <v>367</v>
      </c>
      <c r="B3" s="114" t="s">
        <v>368</v>
      </c>
      <c r="C3" s="115" t="s">
        <v>369</v>
      </c>
      <c r="D3" s="116" t="s">
        <v>370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258" t="s">
        <v>371</v>
      </c>
      <c r="Q3" s="259" t="s">
        <v>372</v>
      </c>
      <c r="R3" s="118" t="s">
        <v>373</v>
      </c>
    </row>
    <row r="4" spans="1:18" ht="13.5" customHeight="1">
      <c r="A4" s="116"/>
      <c r="B4" s="116"/>
      <c r="C4" s="117"/>
      <c r="D4" s="115" t="s">
        <v>374</v>
      </c>
      <c r="E4" s="118" t="s">
        <v>375</v>
      </c>
      <c r="F4" s="260" t="s">
        <v>376</v>
      </c>
      <c r="G4" s="261" t="s">
        <v>377</v>
      </c>
      <c r="H4" s="261" t="s">
        <v>378</v>
      </c>
      <c r="I4" s="118" t="s">
        <v>379</v>
      </c>
      <c r="J4" s="118" t="s">
        <v>380</v>
      </c>
      <c r="K4" s="261" t="s">
        <v>381</v>
      </c>
      <c r="L4" s="118" t="s">
        <v>382</v>
      </c>
      <c r="M4" s="118" t="s">
        <v>383</v>
      </c>
      <c r="N4" s="261" t="s">
        <v>384</v>
      </c>
      <c r="O4" s="118" t="s">
        <v>385</v>
      </c>
      <c r="P4" s="117"/>
      <c r="Q4" s="143"/>
      <c r="R4" s="117"/>
    </row>
    <row r="5" spans="1:19" ht="23.25" customHeight="1">
      <c r="A5" s="116"/>
      <c r="B5" s="116"/>
      <c r="C5" s="120"/>
      <c r="D5" s="121"/>
      <c r="E5" s="120"/>
      <c r="F5" s="122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18"/>
      <c r="R5" s="120"/>
      <c r="S5" s="144" t="s">
        <v>386</v>
      </c>
    </row>
    <row r="6" spans="1:19" ht="16.5" customHeight="1">
      <c r="A6" s="123"/>
      <c r="B6" s="124" t="s">
        <v>387</v>
      </c>
      <c r="C6" s="125">
        <f aca="true" t="shared" si="0" ref="C6:Q6">SUM(C7,C35,C38,C41,C53,C64,C75,C82,C104,C118,C134,C141,C152,C160,C168,C172,C176,C186,C192,C196,C211,C212,C214,C216,C202)</f>
        <v>321854</v>
      </c>
      <c r="D6" s="89">
        <f t="shared" si="0"/>
        <v>64399</v>
      </c>
      <c r="E6" s="89">
        <f t="shared" si="0"/>
        <v>21908</v>
      </c>
      <c r="F6" s="126">
        <f t="shared" si="0"/>
        <v>40972</v>
      </c>
      <c r="G6" s="126">
        <f t="shared" si="0"/>
        <v>1441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1303</v>
      </c>
      <c r="L6" s="126">
        <f t="shared" si="0"/>
        <v>12405</v>
      </c>
      <c r="M6" s="89">
        <f t="shared" si="0"/>
        <v>0</v>
      </c>
      <c r="N6" s="89">
        <f t="shared" si="0"/>
        <v>-18046</v>
      </c>
      <c r="O6" s="89">
        <f t="shared" si="0"/>
        <v>4416</v>
      </c>
      <c r="P6" s="89">
        <f t="shared" si="0"/>
        <v>386253</v>
      </c>
      <c r="Q6" s="89">
        <f t="shared" si="0"/>
        <v>276667</v>
      </c>
      <c r="R6" s="89">
        <f>P6-Q6</f>
        <v>109586</v>
      </c>
      <c r="S6" s="145"/>
    </row>
    <row r="7" spans="1:19" s="107" customFormat="1" ht="16.5" customHeight="1">
      <c r="A7" s="127" t="s">
        <v>388</v>
      </c>
      <c r="B7" s="128" t="s">
        <v>161</v>
      </c>
      <c r="C7" s="129">
        <f>SUM(C8:C34)</f>
        <v>28308</v>
      </c>
      <c r="D7" s="129">
        <f>SUM(D8:D34)</f>
        <v>1135</v>
      </c>
      <c r="E7" s="130">
        <f aca="true" t="shared" si="1" ref="E7:Q7">SUM(E8:E34)</f>
        <v>146</v>
      </c>
      <c r="F7" s="131">
        <f t="shared" si="1"/>
        <v>1582</v>
      </c>
      <c r="G7" s="130">
        <f t="shared" si="1"/>
        <v>100</v>
      </c>
      <c r="H7" s="130">
        <f t="shared" si="1"/>
        <v>0</v>
      </c>
      <c r="I7" s="130">
        <f t="shared" si="1"/>
        <v>0</v>
      </c>
      <c r="J7" s="130">
        <f t="shared" si="1"/>
        <v>0</v>
      </c>
      <c r="K7" s="129">
        <f t="shared" si="1"/>
        <v>0</v>
      </c>
      <c r="L7" s="139">
        <f t="shared" si="1"/>
        <v>0</v>
      </c>
      <c r="M7" s="129">
        <f t="shared" si="1"/>
        <v>0</v>
      </c>
      <c r="N7" s="129">
        <f t="shared" si="1"/>
        <v>135</v>
      </c>
      <c r="O7" s="129">
        <f t="shared" si="1"/>
        <v>-828</v>
      </c>
      <c r="P7" s="129">
        <f t="shared" si="1"/>
        <v>29443</v>
      </c>
      <c r="Q7" s="129">
        <f t="shared" si="1"/>
        <v>22564</v>
      </c>
      <c r="R7" s="129">
        <f aca="true" t="shared" si="2" ref="R7:R70">P7-Q7</f>
        <v>6879</v>
      </c>
      <c r="S7" s="146">
        <f aca="true" t="shared" si="3" ref="S7:S70">LEN(A7)</f>
        <v>3</v>
      </c>
    </row>
    <row r="8" spans="1:19" ht="16.5" customHeight="1">
      <c r="A8" s="132" t="s">
        <v>389</v>
      </c>
      <c r="B8" s="133" t="s">
        <v>162</v>
      </c>
      <c r="C8" s="89">
        <v>1124</v>
      </c>
      <c r="D8" s="89">
        <f aca="true" t="shared" si="4" ref="D8:D74">SUM(E8:O8)</f>
        <v>393</v>
      </c>
      <c r="E8" s="134">
        <v>30</v>
      </c>
      <c r="F8" s="135">
        <v>235</v>
      </c>
      <c r="G8" s="134"/>
      <c r="H8" s="134"/>
      <c r="I8" s="134"/>
      <c r="J8" s="89"/>
      <c r="K8" s="89"/>
      <c r="L8" s="89"/>
      <c r="M8" s="89"/>
      <c r="N8" s="89">
        <v>82</v>
      </c>
      <c r="O8" s="89">
        <v>46</v>
      </c>
      <c r="P8" s="89">
        <f aca="true" t="shared" si="5" ref="P8:P74">C8+D8</f>
        <v>1517</v>
      </c>
      <c r="Q8" s="89">
        <v>822</v>
      </c>
      <c r="R8" s="89">
        <f t="shared" si="2"/>
        <v>695</v>
      </c>
      <c r="S8" s="145">
        <f t="shared" si="3"/>
        <v>5</v>
      </c>
    </row>
    <row r="9" spans="1:19" ht="16.5" customHeight="1">
      <c r="A9" s="132" t="s">
        <v>390</v>
      </c>
      <c r="B9" s="133" t="s">
        <v>163</v>
      </c>
      <c r="C9" s="89">
        <v>405</v>
      </c>
      <c r="D9" s="89">
        <f t="shared" si="4"/>
        <v>45</v>
      </c>
      <c r="E9" s="134"/>
      <c r="F9" s="126"/>
      <c r="G9" s="134"/>
      <c r="H9" s="134"/>
      <c r="I9" s="134"/>
      <c r="J9" s="89"/>
      <c r="K9" s="89"/>
      <c r="L9" s="89"/>
      <c r="M9" s="89"/>
      <c r="N9" s="89">
        <v>45</v>
      </c>
      <c r="O9" s="89"/>
      <c r="P9" s="89">
        <f t="shared" si="5"/>
        <v>450</v>
      </c>
      <c r="Q9" s="89">
        <v>418</v>
      </c>
      <c r="R9" s="89">
        <f t="shared" si="2"/>
        <v>32</v>
      </c>
      <c r="S9" s="145">
        <f t="shared" si="3"/>
        <v>5</v>
      </c>
    </row>
    <row r="10" spans="1:19" ht="16.5" customHeight="1">
      <c r="A10" s="132" t="s">
        <v>391</v>
      </c>
      <c r="B10" s="133" t="s">
        <v>164</v>
      </c>
      <c r="C10" s="89">
        <v>7864</v>
      </c>
      <c r="D10" s="89">
        <f t="shared" si="4"/>
        <v>2522</v>
      </c>
      <c r="E10" s="134"/>
      <c r="F10" s="135">
        <v>289</v>
      </c>
      <c r="G10" s="134"/>
      <c r="H10" s="134"/>
      <c r="I10" s="134"/>
      <c r="J10" s="90">
        <v>2000</v>
      </c>
      <c r="K10" s="89"/>
      <c r="L10" s="89"/>
      <c r="M10" s="89"/>
      <c r="N10" s="89">
        <v>233</v>
      </c>
      <c r="O10" s="89"/>
      <c r="P10" s="89">
        <f t="shared" si="5"/>
        <v>10386</v>
      </c>
      <c r="Q10" s="89">
        <v>9688</v>
      </c>
      <c r="R10" s="89">
        <f t="shared" si="2"/>
        <v>698</v>
      </c>
      <c r="S10" s="145">
        <f t="shared" si="3"/>
        <v>5</v>
      </c>
    </row>
    <row r="11" spans="1:19" ht="16.5" customHeight="1">
      <c r="A11" s="132" t="s">
        <v>392</v>
      </c>
      <c r="B11" s="133" t="s">
        <v>165</v>
      </c>
      <c r="C11" s="89">
        <v>363</v>
      </c>
      <c r="D11" s="89">
        <f t="shared" si="4"/>
        <v>330</v>
      </c>
      <c r="E11" s="134"/>
      <c r="F11" s="135"/>
      <c r="G11" s="134">
        <v>80</v>
      </c>
      <c r="H11" s="134"/>
      <c r="I11" s="140"/>
      <c r="J11" s="89">
        <v>250</v>
      </c>
      <c r="K11" s="141"/>
      <c r="L11" s="89"/>
      <c r="M11" s="89"/>
      <c r="N11" s="89"/>
      <c r="O11" s="89"/>
      <c r="P11" s="89">
        <f t="shared" si="5"/>
        <v>693</v>
      </c>
      <c r="Q11" s="89">
        <v>645</v>
      </c>
      <c r="R11" s="89">
        <f t="shared" si="2"/>
        <v>48</v>
      </c>
      <c r="S11" s="145">
        <f t="shared" si="3"/>
        <v>5</v>
      </c>
    </row>
    <row r="12" spans="1:19" ht="16.5" customHeight="1">
      <c r="A12" s="132" t="s">
        <v>393</v>
      </c>
      <c r="B12" s="133" t="s">
        <v>166</v>
      </c>
      <c r="C12" s="89">
        <v>349</v>
      </c>
      <c r="D12" s="89">
        <f t="shared" si="4"/>
        <v>120</v>
      </c>
      <c r="E12" s="134"/>
      <c r="F12" s="135">
        <v>56</v>
      </c>
      <c r="G12" s="134"/>
      <c r="H12" s="134"/>
      <c r="I12" s="134"/>
      <c r="J12" s="91"/>
      <c r="K12" s="89"/>
      <c r="L12" s="89"/>
      <c r="M12" s="89"/>
      <c r="N12" s="89">
        <v>64</v>
      </c>
      <c r="O12" s="89"/>
      <c r="P12" s="89">
        <f t="shared" si="5"/>
        <v>469</v>
      </c>
      <c r="Q12" s="89">
        <v>387</v>
      </c>
      <c r="R12" s="89">
        <f t="shared" si="2"/>
        <v>82</v>
      </c>
      <c r="S12" s="145">
        <f t="shared" si="3"/>
        <v>5</v>
      </c>
    </row>
    <row r="13" spans="1:19" ht="16.5" customHeight="1">
      <c r="A13" s="132" t="s">
        <v>394</v>
      </c>
      <c r="B13" s="133" t="s">
        <v>167</v>
      </c>
      <c r="C13" s="89">
        <v>1821</v>
      </c>
      <c r="D13" s="89">
        <f t="shared" si="4"/>
        <v>482</v>
      </c>
      <c r="E13" s="134"/>
      <c r="F13" s="135"/>
      <c r="G13" s="134"/>
      <c r="H13" s="134"/>
      <c r="I13" s="134"/>
      <c r="J13" s="89"/>
      <c r="K13" s="89"/>
      <c r="L13" s="89"/>
      <c r="M13" s="89"/>
      <c r="N13" s="89">
        <v>482</v>
      </c>
      <c r="O13" s="89"/>
      <c r="P13" s="89">
        <f t="shared" si="5"/>
        <v>2303</v>
      </c>
      <c r="Q13" s="89">
        <v>1847</v>
      </c>
      <c r="R13" s="89">
        <f t="shared" si="2"/>
        <v>456</v>
      </c>
      <c r="S13" s="145">
        <f t="shared" si="3"/>
        <v>5</v>
      </c>
    </row>
    <row r="14" spans="1:19" ht="16.5" customHeight="1">
      <c r="A14" s="132" t="s">
        <v>395</v>
      </c>
      <c r="B14" s="133" t="s">
        <v>168</v>
      </c>
      <c r="C14" s="89">
        <v>470</v>
      </c>
      <c r="D14" s="89">
        <f t="shared" si="4"/>
        <v>35</v>
      </c>
      <c r="E14" s="134"/>
      <c r="F14" s="135"/>
      <c r="G14" s="134"/>
      <c r="H14" s="134"/>
      <c r="I14" s="134"/>
      <c r="J14" s="89">
        <v>35</v>
      </c>
      <c r="K14" s="89"/>
      <c r="L14" s="89"/>
      <c r="M14" s="89"/>
      <c r="N14" s="89"/>
      <c r="O14" s="89"/>
      <c r="P14" s="89">
        <f t="shared" si="5"/>
        <v>505</v>
      </c>
      <c r="Q14" s="89">
        <v>495</v>
      </c>
      <c r="R14" s="89">
        <f t="shared" si="2"/>
        <v>10</v>
      </c>
      <c r="S14" s="145">
        <f t="shared" si="3"/>
        <v>5</v>
      </c>
    </row>
    <row r="15" spans="1:19" ht="16.5" customHeight="1">
      <c r="A15" s="132" t="s">
        <v>396</v>
      </c>
      <c r="B15" s="133" t="s">
        <v>169</v>
      </c>
      <c r="C15" s="89">
        <v>187</v>
      </c>
      <c r="D15" s="89">
        <f t="shared" si="4"/>
        <v>42</v>
      </c>
      <c r="E15" s="134"/>
      <c r="F15" s="135">
        <v>10</v>
      </c>
      <c r="G15" s="134"/>
      <c r="H15" s="134"/>
      <c r="I15" s="134"/>
      <c r="J15" s="89">
        <v>30</v>
      </c>
      <c r="K15" s="89"/>
      <c r="L15" s="89"/>
      <c r="M15" s="89"/>
      <c r="N15" s="89">
        <v>2</v>
      </c>
      <c r="O15" s="89"/>
      <c r="P15" s="89">
        <f t="shared" si="5"/>
        <v>229</v>
      </c>
      <c r="Q15" s="89">
        <v>209</v>
      </c>
      <c r="R15" s="89">
        <f t="shared" si="2"/>
        <v>20</v>
      </c>
      <c r="S15" s="145">
        <f t="shared" si="3"/>
        <v>5</v>
      </c>
    </row>
    <row r="16" spans="1:19" ht="16.5" customHeight="1">
      <c r="A16" s="132" t="s">
        <v>397</v>
      </c>
      <c r="B16" s="133" t="s">
        <v>170</v>
      </c>
      <c r="C16" s="89">
        <v>0</v>
      </c>
      <c r="D16" s="89">
        <f t="shared" si="4"/>
        <v>0</v>
      </c>
      <c r="E16" s="134"/>
      <c r="F16" s="135"/>
      <c r="G16" s="134"/>
      <c r="H16" s="134"/>
      <c r="I16" s="134"/>
      <c r="J16" s="89"/>
      <c r="K16" s="89"/>
      <c r="L16" s="89"/>
      <c r="M16" s="89"/>
      <c r="N16" s="89"/>
      <c r="O16" s="89"/>
      <c r="P16" s="89">
        <f t="shared" si="5"/>
        <v>0</v>
      </c>
      <c r="Q16" s="89">
        <v>0</v>
      </c>
      <c r="R16" s="89">
        <f t="shared" si="2"/>
        <v>0</v>
      </c>
      <c r="S16" s="145">
        <f t="shared" si="3"/>
        <v>5</v>
      </c>
    </row>
    <row r="17" spans="1:19" ht="16.5" customHeight="1">
      <c r="A17" s="132" t="s">
        <v>398</v>
      </c>
      <c r="B17" s="133" t="s">
        <v>171</v>
      </c>
      <c r="C17" s="89"/>
      <c r="D17" s="89">
        <f t="shared" si="4"/>
        <v>0</v>
      </c>
      <c r="E17" s="134"/>
      <c r="F17" s="135"/>
      <c r="G17" s="134"/>
      <c r="H17" s="134"/>
      <c r="I17" s="134"/>
      <c r="J17" s="89"/>
      <c r="K17" s="89"/>
      <c r="L17" s="89"/>
      <c r="M17" s="89"/>
      <c r="N17" s="89"/>
      <c r="O17" s="89"/>
      <c r="P17" s="89">
        <f t="shared" si="5"/>
        <v>0</v>
      </c>
      <c r="Q17" s="89"/>
      <c r="R17" s="89">
        <f t="shared" si="2"/>
        <v>0</v>
      </c>
      <c r="S17" s="145">
        <f t="shared" si="3"/>
        <v>5</v>
      </c>
    </row>
    <row r="18" spans="1:19" ht="16.5" customHeight="1">
      <c r="A18" s="132" t="s">
        <v>399</v>
      </c>
      <c r="B18" s="133" t="s">
        <v>172</v>
      </c>
      <c r="C18" s="89">
        <v>1348</v>
      </c>
      <c r="D18" s="89">
        <f t="shared" si="4"/>
        <v>237</v>
      </c>
      <c r="E18" s="134"/>
      <c r="F18" s="135">
        <v>25</v>
      </c>
      <c r="G18" s="134"/>
      <c r="H18" s="134"/>
      <c r="I18" s="134"/>
      <c r="J18" s="89">
        <v>200</v>
      </c>
      <c r="K18" s="89"/>
      <c r="L18" s="89"/>
      <c r="M18" s="89"/>
      <c r="N18" s="89">
        <v>12</v>
      </c>
      <c r="O18" s="89"/>
      <c r="P18" s="89">
        <f t="shared" si="5"/>
        <v>1585</v>
      </c>
      <c r="Q18" s="89">
        <v>1546</v>
      </c>
      <c r="R18" s="89">
        <f t="shared" si="2"/>
        <v>39</v>
      </c>
      <c r="S18" s="145">
        <f t="shared" si="3"/>
        <v>5</v>
      </c>
    </row>
    <row r="19" spans="1:19" ht="16.5" customHeight="1">
      <c r="A19" s="132" t="s">
        <v>400</v>
      </c>
      <c r="B19" s="133" t="s">
        <v>173</v>
      </c>
      <c r="C19" s="89">
        <v>117</v>
      </c>
      <c r="D19" s="89">
        <f t="shared" si="4"/>
        <v>19</v>
      </c>
      <c r="E19" s="134"/>
      <c r="F19" s="135"/>
      <c r="G19" s="134"/>
      <c r="H19" s="134"/>
      <c r="I19" s="134"/>
      <c r="J19" s="89">
        <v>1</v>
      </c>
      <c r="K19" s="89"/>
      <c r="L19" s="89"/>
      <c r="M19" s="89"/>
      <c r="N19" s="89">
        <v>18</v>
      </c>
      <c r="O19" s="89"/>
      <c r="P19" s="89">
        <f t="shared" si="5"/>
        <v>136</v>
      </c>
      <c r="Q19" s="89">
        <v>136</v>
      </c>
      <c r="R19" s="89">
        <f t="shared" si="2"/>
        <v>0</v>
      </c>
      <c r="S19" s="145">
        <f t="shared" si="3"/>
        <v>5</v>
      </c>
    </row>
    <row r="20" spans="1:19" ht="16.5" customHeight="1">
      <c r="A20" s="132" t="s">
        <v>401</v>
      </c>
      <c r="B20" s="133" t="s">
        <v>174</v>
      </c>
      <c r="C20" s="89">
        <v>0</v>
      </c>
      <c r="D20" s="89">
        <f t="shared" si="4"/>
        <v>0</v>
      </c>
      <c r="E20" s="134"/>
      <c r="F20" s="135"/>
      <c r="G20" s="134"/>
      <c r="H20" s="134"/>
      <c r="I20" s="134"/>
      <c r="J20" s="89"/>
      <c r="K20" s="89"/>
      <c r="L20" s="89"/>
      <c r="M20" s="89"/>
      <c r="N20" s="89"/>
      <c r="O20" s="89"/>
      <c r="P20" s="89">
        <f t="shared" si="5"/>
        <v>0</v>
      </c>
      <c r="Q20" s="89">
        <v>0</v>
      </c>
      <c r="R20" s="89">
        <f t="shared" si="2"/>
        <v>0</v>
      </c>
      <c r="S20" s="145">
        <f t="shared" si="3"/>
        <v>5</v>
      </c>
    </row>
    <row r="21" spans="1:19" ht="16.5" customHeight="1">
      <c r="A21" s="132" t="s">
        <v>402</v>
      </c>
      <c r="B21" s="133" t="s">
        <v>175</v>
      </c>
      <c r="C21" s="89">
        <v>34</v>
      </c>
      <c r="D21" s="89">
        <f t="shared" si="4"/>
        <v>78</v>
      </c>
      <c r="E21" s="134"/>
      <c r="F21" s="135">
        <v>55</v>
      </c>
      <c r="G21" s="134">
        <v>20</v>
      </c>
      <c r="H21" s="134"/>
      <c r="I21" s="134"/>
      <c r="J21" s="89"/>
      <c r="K21" s="89"/>
      <c r="L21" s="89"/>
      <c r="M21" s="89"/>
      <c r="N21" s="89">
        <v>3</v>
      </c>
      <c r="O21" s="89"/>
      <c r="P21" s="89">
        <f t="shared" si="5"/>
        <v>112</v>
      </c>
      <c r="Q21" s="89">
        <v>21</v>
      </c>
      <c r="R21" s="89">
        <f t="shared" si="2"/>
        <v>91</v>
      </c>
      <c r="S21" s="145">
        <f t="shared" si="3"/>
        <v>5</v>
      </c>
    </row>
    <row r="22" spans="1:19" ht="16.5" customHeight="1">
      <c r="A22" s="132" t="s">
        <v>403</v>
      </c>
      <c r="B22" s="133" t="s">
        <v>176</v>
      </c>
      <c r="C22" s="89">
        <v>0</v>
      </c>
      <c r="D22" s="89">
        <f t="shared" si="4"/>
        <v>0</v>
      </c>
      <c r="E22" s="134"/>
      <c r="F22" s="135"/>
      <c r="G22" s="134"/>
      <c r="H22" s="134"/>
      <c r="I22" s="134"/>
      <c r="J22" s="89"/>
      <c r="K22" s="89"/>
      <c r="L22" s="89"/>
      <c r="M22" s="89"/>
      <c r="N22" s="89"/>
      <c r="O22" s="89"/>
      <c r="P22" s="89">
        <f t="shared" si="5"/>
        <v>0</v>
      </c>
      <c r="Q22" s="89">
        <v>0</v>
      </c>
      <c r="R22" s="89">
        <f t="shared" si="2"/>
        <v>0</v>
      </c>
      <c r="S22" s="145">
        <f t="shared" si="3"/>
        <v>5</v>
      </c>
    </row>
    <row r="23" spans="1:19" ht="16.5" customHeight="1">
      <c r="A23" s="132" t="s">
        <v>404</v>
      </c>
      <c r="B23" s="133" t="s">
        <v>177</v>
      </c>
      <c r="C23" s="89">
        <v>90</v>
      </c>
      <c r="D23" s="89">
        <f t="shared" si="4"/>
        <v>4</v>
      </c>
      <c r="E23" s="134"/>
      <c r="F23" s="135"/>
      <c r="G23" s="134"/>
      <c r="H23" s="134"/>
      <c r="I23" s="134"/>
      <c r="J23" s="89"/>
      <c r="K23" s="89"/>
      <c r="L23" s="89"/>
      <c r="M23" s="89"/>
      <c r="N23" s="89">
        <v>4</v>
      </c>
      <c r="O23" s="89"/>
      <c r="P23" s="89">
        <f t="shared" si="5"/>
        <v>94</v>
      </c>
      <c r="Q23" s="89">
        <v>85</v>
      </c>
      <c r="R23" s="89">
        <f t="shared" si="2"/>
        <v>9</v>
      </c>
      <c r="S23" s="145">
        <f t="shared" si="3"/>
        <v>5</v>
      </c>
    </row>
    <row r="24" spans="1:19" ht="16.5" customHeight="1">
      <c r="A24" s="132" t="s">
        <v>405</v>
      </c>
      <c r="B24" s="133" t="s">
        <v>178</v>
      </c>
      <c r="C24" s="89">
        <v>40</v>
      </c>
      <c r="D24" s="89">
        <f t="shared" si="4"/>
        <v>15</v>
      </c>
      <c r="E24" s="134"/>
      <c r="F24" s="135"/>
      <c r="G24" s="134"/>
      <c r="H24" s="134"/>
      <c r="I24" s="134"/>
      <c r="J24" s="89">
        <v>15</v>
      </c>
      <c r="K24" s="89"/>
      <c r="L24" s="89"/>
      <c r="M24" s="89"/>
      <c r="N24" s="89"/>
      <c r="O24" s="89"/>
      <c r="P24" s="89">
        <f t="shared" si="5"/>
        <v>55</v>
      </c>
      <c r="Q24" s="89">
        <v>50</v>
      </c>
      <c r="R24" s="89">
        <f t="shared" si="2"/>
        <v>5</v>
      </c>
      <c r="S24" s="145">
        <f t="shared" si="3"/>
        <v>5</v>
      </c>
    </row>
    <row r="25" spans="1:19" ht="16.5" customHeight="1">
      <c r="A25" s="132" t="s">
        <v>406</v>
      </c>
      <c r="B25" s="133" t="s">
        <v>179</v>
      </c>
      <c r="C25" s="89">
        <v>483</v>
      </c>
      <c r="D25" s="89">
        <f t="shared" si="4"/>
        <v>204</v>
      </c>
      <c r="E25" s="134"/>
      <c r="F25" s="135">
        <v>74</v>
      </c>
      <c r="G25" s="134"/>
      <c r="H25" s="134"/>
      <c r="I25" s="134"/>
      <c r="J25" s="89"/>
      <c r="K25" s="89"/>
      <c r="L25" s="89"/>
      <c r="M25" s="89"/>
      <c r="N25" s="89">
        <v>47</v>
      </c>
      <c r="O25" s="89">
        <v>83</v>
      </c>
      <c r="P25" s="89">
        <f t="shared" si="5"/>
        <v>687</v>
      </c>
      <c r="Q25" s="89">
        <v>472</v>
      </c>
      <c r="R25" s="89">
        <f t="shared" si="2"/>
        <v>215</v>
      </c>
      <c r="S25" s="145">
        <f t="shared" si="3"/>
        <v>5</v>
      </c>
    </row>
    <row r="26" spans="1:19" ht="16.5" customHeight="1">
      <c r="A26" s="132" t="s">
        <v>407</v>
      </c>
      <c r="B26" s="133" t="s">
        <v>180</v>
      </c>
      <c r="C26" s="89">
        <v>507</v>
      </c>
      <c r="D26" s="89">
        <f t="shared" si="4"/>
        <v>85</v>
      </c>
      <c r="E26" s="134"/>
      <c r="F26" s="135">
        <v>30</v>
      </c>
      <c r="G26" s="134"/>
      <c r="H26" s="134"/>
      <c r="I26" s="134"/>
      <c r="J26" s="89">
        <v>40</v>
      </c>
      <c r="K26" s="89"/>
      <c r="L26" s="89"/>
      <c r="M26" s="89"/>
      <c r="N26" s="89">
        <v>15</v>
      </c>
      <c r="O26" s="89"/>
      <c r="P26" s="89">
        <f t="shared" si="5"/>
        <v>592</v>
      </c>
      <c r="Q26" s="89">
        <v>583</v>
      </c>
      <c r="R26" s="89">
        <f t="shared" si="2"/>
        <v>9</v>
      </c>
      <c r="S26" s="145">
        <f t="shared" si="3"/>
        <v>5</v>
      </c>
    </row>
    <row r="27" spans="1:19" ht="16.5" customHeight="1">
      <c r="A27" s="132" t="s">
        <v>408</v>
      </c>
      <c r="B27" s="133" t="s">
        <v>181</v>
      </c>
      <c r="C27" s="89">
        <v>968</v>
      </c>
      <c r="D27" s="89">
        <f t="shared" si="4"/>
        <v>926</v>
      </c>
      <c r="E27" s="134">
        <v>52</v>
      </c>
      <c r="F27" s="135">
        <v>786</v>
      </c>
      <c r="G27" s="134"/>
      <c r="H27" s="134"/>
      <c r="I27" s="134"/>
      <c r="J27" s="89"/>
      <c r="K27" s="89"/>
      <c r="L27" s="89"/>
      <c r="M27" s="89"/>
      <c r="N27" s="89">
        <v>63</v>
      </c>
      <c r="O27" s="89">
        <v>25</v>
      </c>
      <c r="P27" s="89">
        <f t="shared" si="5"/>
        <v>1894</v>
      </c>
      <c r="Q27" s="89">
        <v>1001</v>
      </c>
      <c r="R27" s="89">
        <f t="shared" si="2"/>
        <v>893</v>
      </c>
      <c r="S27" s="145">
        <f t="shared" si="3"/>
        <v>5</v>
      </c>
    </row>
    <row r="28" spans="1:19" ht="16.5" customHeight="1">
      <c r="A28" s="132" t="s">
        <v>409</v>
      </c>
      <c r="B28" s="133" t="s">
        <v>182</v>
      </c>
      <c r="C28" s="89">
        <v>205</v>
      </c>
      <c r="D28" s="89">
        <f t="shared" si="4"/>
        <v>42</v>
      </c>
      <c r="E28" s="134"/>
      <c r="F28" s="135"/>
      <c r="G28" s="134"/>
      <c r="H28" s="134"/>
      <c r="I28" s="134"/>
      <c r="J28" s="89">
        <v>35</v>
      </c>
      <c r="K28" s="89"/>
      <c r="L28" s="89"/>
      <c r="M28" s="89"/>
      <c r="N28" s="89">
        <v>7</v>
      </c>
      <c r="O28" s="89"/>
      <c r="P28" s="89">
        <f t="shared" si="5"/>
        <v>247</v>
      </c>
      <c r="Q28" s="89">
        <v>239</v>
      </c>
      <c r="R28" s="89">
        <f t="shared" si="2"/>
        <v>8</v>
      </c>
      <c r="S28" s="145">
        <f t="shared" si="3"/>
        <v>5</v>
      </c>
    </row>
    <row r="29" spans="1:19" ht="16.5" customHeight="1">
      <c r="A29" s="132" t="s">
        <v>410</v>
      </c>
      <c r="B29" s="133" t="s">
        <v>183</v>
      </c>
      <c r="C29" s="89">
        <v>239</v>
      </c>
      <c r="D29" s="89">
        <f t="shared" si="4"/>
        <v>51</v>
      </c>
      <c r="E29" s="134"/>
      <c r="F29" s="135"/>
      <c r="G29" s="134"/>
      <c r="H29" s="134"/>
      <c r="I29" s="134"/>
      <c r="J29" s="89">
        <v>50</v>
      </c>
      <c r="K29" s="89"/>
      <c r="L29" s="89"/>
      <c r="M29" s="89"/>
      <c r="N29" s="89">
        <v>1</v>
      </c>
      <c r="O29" s="89"/>
      <c r="P29" s="89">
        <f t="shared" si="5"/>
        <v>290</v>
      </c>
      <c r="Q29" s="89">
        <v>287</v>
      </c>
      <c r="R29" s="89">
        <f t="shared" si="2"/>
        <v>3</v>
      </c>
      <c r="S29" s="145">
        <f t="shared" si="3"/>
        <v>5</v>
      </c>
    </row>
    <row r="30" spans="1:19" ht="16.5" customHeight="1">
      <c r="A30" s="132" t="s">
        <v>411</v>
      </c>
      <c r="B30" s="133" t="s">
        <v>184</v>
      </c>
      <c r="C30" s="89">
        <v>0</v>
      </c>
      <c r="D30" s="89">
        <f t="shared" si="4"/>
        <v>0</v>
      </c>
      <c r="E30" s="134"/>
      <c r="F30" s="135"/>
      <c r="G30" s="134"/>
      <c r="H30" s="134"/>
      <c r="I30" s="134"/>
      <c r="J30" s="89"/>
      <c r="K30" s="89"/>
      <c r="L30" s="89"/>
      <c r="M30" s="89"/>
      <c r="N30" s="89"/>
      <c r="O30" s="89"/>
      <c r="P30" s="89">
        <f t="shared" si="5"/>
        <v>0</v>
      </c>
      <c r="Q30" s="89">
        <v>0</v>
      </c>
      <c r="R30" s="89">
        <f t="shared" si="2"/>
        <v>0</v>
      </c>
      <c r="S30" s="145">
        <f t="shared" si="3"/>
        <v>5</v>
      </c>
    </row>
    <row r="31" spans="1:19" ht="16.5" customHeight="1">
      <c r="A31" s="132" t="s">
        <v>412</v>
      </c>
      <c r="B31" s="133" t="s">
        <v>185</v>
      </c>
      <c r="C31" s="89">
        <v>657</v>
      </c>
      <c r="D31" s="89">
        <f t="shared" si="4"/>
        <v>1</v>
      </c>
      <c r="E31" s="134"/>
      <c r="F31" s="135"/>
      <c r="G31" s="134"/>
      <c r="H31" s="134"/>
      <c r="I31" s="134"/>
      <c r="J31" s="89"/>
      <c r="K31" s="89"/>
      <c r="L31" s="89"/>
      <c r="M31" s="89"/>
      <c r="N31" s="89">
        <v>1</v>
      </c>
      <c r="O31" s="89"/>
      <c r="P31" s="89">
        <f t="shared" si="5"/>
        <v>658</v>
      </c>
      <c r="Q31" s="89">
        <v>595</v>
      </c>
      <c r="R31" s="89">
        <f t="shared" si="2"/>
        <v>63</v>
      </c>
      <c r="S31" s="145">
        <f t="shared" si="3"/>
        <v>5</v>
      </c>
    </row>
    <row r="32" spans="1:19" ht="16.5" customHeight="1">
      <c r="A32" s="132" t="s">
        <v>413</v>
      </c>
      <c r="B32" s="133" t="s">
        <v>186</v>
      </c>
      <c r="C32" s="89">
        <v>0</v>
      </c>
      <c r="D32" s="89">
        <f t="shared" si="4"/>
        <v>0</v>
      </c>
      <c r="E32" s="134"/>
      <c r="F32" s="135"/>
      <c r="G32" s="134"/>
      <c r="H32" s="134"/>
      <c r="I32" s="134"/>
      <c r="J32" s="89"/>
      <c r="K32" s="89"/>
      <c r="L32" s="89"/>
      <c r="M32" s="89"/>
      <c r="N32" s="89"/>
      <c r="O32" s="89"/>
      <c r="P32" s="89">
        <f t="shared" si="5"/>
        <v>0</v>
      </c>
      <c r="Q32" s="89">
        <v>0</v>
      </c>
      <c r="R32" s="89">
        <f t="shared" si="2"/>
        <v>0</v>
      </c>
      <c r="S32" s="145">
        <f t="shared" si="3"/>
        <v>5</v>
      </c>
    </row>
    <row r="33" spans="1:19" ht="16.5" customHeight="1">
      <c r="A33" s="132" t="s">
        <v>414</v>
      </c>
      <c r="B33" s="133" t="s">
        <v>187</v>
      </c>
      <c r="C33" s="89">
        <v>1453</v>
      </c>
      <c r="D33" s="89">
        <f t="shared" si="4"/>
        <v>269</v>
      </c>
      <c r="E33" s="134">
        <v>64</v>
      </c>
      <c r="F33" s="135">
        <v>22</v>
      </c>
      <c r="G33" s="134"/>
      <c r="H33" s="134"/>
      <c r="I33" s="134"/>
      <c r="J33" s="89">
        <v>150</v>
      </c>
      <c r="K33" s="89"/>
      <c r="L33" s="89"/>
      <c r="M33" s="89"/>
      <c r="N33" s="89">
        <v>33</v>
      </c>
      <c r="O33" s="89"/>
      <c r="P33" s="89">
        <f t="shared" si="5"/>
        <v>1722</v>
      </c>
      <c r="Q33" s="89">
        <v>1690</v>
      </c>
      <c r="R33" s="89">
        <f t="shared" si="2"/>
        <v>32</v>
      </c>
      <c r="S33" s="145">
        <f t="shared" si="3"/>
        <v>5</v>
      </c>
    </row>
    <row r="34" spans="1:19" ht="16.5" customHeight="1">
      <c r="A34" s="132" t="s">
        <v>415</v>
      </c>
      <c r="B34" s="133" t="s">
        <v>188</v>
      </c>
      <c r="C34" s="89">
        <v>9584</v>
      </c>
      <c r="D34" s="89">
        <f t="shared" si="4"/>
        <v>-4765</v>
      </c>
      <c r="E34" s="134"/>
      <c r="F34" s="135"/>
      <c r="G34" s="134"/>
      <c r="H34" s="134"/>
      <c r="I34" s="134"/>
      <c r="J34" s="89">
        <f>-2000-150-656</f>
        <v>-2806</v>
      </c>
      <c r="K34" s="89"/>
      <c r="L34" s="89"/>
      <c r="M34" s="89"/>
      <c r="N34" s="89">
        <v>-977</v>
      </c>
      <c r="O34" s="89">
        <v>-982</v>
      </c>
      <c r="P34" s="89">
        <f t="shared" si="5"/>
        <v>4819</v>
      </c>
      <c r="Q34" s="89">
        <v>1348</v>
      </c>
      <c r="R34" s="89">
        <f t="shared" si="2"/>
        <v>3471</v>
      </c>
      <c r="S34" s="145">
        <f t="shared" si="3"/>
        <v>5</v>
      </c>
    </row>
    <row r="35" spans="1:19" ht="16.5" customHeight="1">
      <c r="A35" s="132" t="s">
        <v>416</v>
      </c>
      <c r="B35" s="128" t="s">
        <v>189</v>
      </c>
      <c r="C35" s="89">
        <v>0</v>
      </c>
      <c r="D35" s="89">
        <f>SUM(D36:D37)</f>
        <v>0</v>
      </c>
      <c r="E35" s="134">
        <f aca="true" t="shared" si="6" ref="E35:Q35">SUM(E36:E37)</f>
        <v>0</v>
      </c>
      <c r="F35" s="135">
        <f t="shared" si="6"/>
        <v>0</v>
      </c>
      <c r="G35" s="135">
        <f t="shared" si="6"/>
        <v>0</v>
      </c>
      <c r="H35" s="135">
        <f t="shared" si="6"/>
        <v>0</v>
      </c>
      <c r="I35" s="135">
        <f t="shared" si="6"/>
        <v>0</v>
      </c>
      <c r="J35" s="135">
        <f t="shared" si="6"/>
        <v>0</v>
      </c>
      <c r="K35" s="89">
        <f t="shared" si="6"/>
        <v>0</v>
      </c>
      <c r="L35" s="89">
        <f t="shared" si="6"/>
        <v>0</v>
      </c>
      <c r="M35" s="89">
        <f t="shared" si="6"/>
        <v>0</v>
      </c>
      <c r="N35" s="89">
        <f t="shared" si="6"/>
        <v>0</v>
      </c>
      <c r="O35" s="89">
        <f t="shared" si="6"/>
        <v>0</v>
      </c>
      <c r="P35" s="89">
        <f t="shared" si="6"/>
        <v>0</v>
      </c>
      <c r="Q35" s="89">
        <f t="shared" si="6"/>
        <v>0</v>
      </c>
      <c r="R35" s="89">
        <f t="shared" si="2"/>
        <v>0</v>
      </c>
      <c r="S35" s="145">
        <f t="shared" si="3"/>
        <v>3</v>
      </c>
    </row>
    <row r="36" spans="1:19" ht="16.5" customHeight="1">
      <c r="A36" s="132" t="s">
        <v>417</v>
      </c>
      <c r="B36" s="133" t="s">
        <v>190</v>
      </c>
      <c r="C36" s="89">
        <v>0</v>
      </c>
      <c r="D36" s="89">
        <f t="shared" si="4"/>
        <v>0</v>
      </c>
      <c r="E36" s="134">
        <v>0</v>
      </c>
      <c r="F36" s="135">
        <v>0</v>
      </c>
      <c r="G36" s="134">
        <v>0</v>
      </c>
      <c r="H36" s="134">
        <v>0</v>
      </c>
      <c r="I36" s="134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f t="shared" si="5"/>
        <v>0</v>
      </c>
      <c r="Q36" s="89">
        <v>0</v>
      </c>
      <c r="R36" s="89">
        <f t="shared" si="2"/>
        <v>0</v>
      </c>
      <c r="S36" s="145">
        <f t="shared" si="3"/>
        <v>5</v>
      </c>
    </row>
    <row r="37" spans="1:19" ht="16.5" customHeight="1">
      <c r="A37" s="132" t="s">
        <v>418</v>
      </c>
      <c r="B37" s="133" t="s">
        <v>191</v>
      </c>
      <c r="C37" s="89">
        <v>0</v>
      </c>
      <c r="D37" s="89">
        <f t="shared" si="4"/>
        <v>0</v>
      </c>
      <c r="E37" s="134">
        <v>0</v>
      </c>
      <c r="F37" s="135">
        <v>0</v>
      </c>
      <c r="G37" s="134">
        <v>0</v>
      </c>
      <c r="H37" s="134">
        <v>0</v>
      </c>
      <c r="I37" s="134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f t="shared" si="5"/>
        <v>0</v>
      </c>
      <c r="Q37" s="89">
        <v>0</v>
      </c>
      <c r="R37" s="89">
        <f t="shared" si="2"/>
        <v>0</v>
      </c>
      <c r="S37" s="145">
        <f t="shared" si="3"/>
        <v>5</v>
      </c>
    </row>
    <row r="38" spans="1:19" s="107" customFormat="1" ht="16.5" customHeight="1">
      <c r="A38" s="127" t="s">
        <v>419</v>
      </c>
      <c r="B38" s="128" t="s">
        <v>192</v>
      </c>
      <c r="C38" s="129">
        <f>SUM(C39:C40)</f>
        <v>74</v>
      </c>
      <c r="D38" s="129">
        <f>SUM(D39:D40)</f>
        <v>88</v>
      </c>
      <c r="E38" s="130">
        <f aca="true" t="shared" si="7" ref="E38:Q38">SUM(E39:E40)</f>
        <v>0</v>
      </c>
      <c r="F38" s="131">
        <f t="shared" si="7"/>
        <v>62</v>
      </c>
      <c r="G38" s="131">
        <f t="shared" si="7"/>
        <v>0</v>
      </c>
      <c r="H38" s="131">
        <f t="shared" si="7"/>
        <v>0</v>
      </c>
      <c r="I38" s="131">
        <f t="shared" si="7"/>
        <v>0</v>
      </c>
      <c r="J38" s="131">
        <f t="shared" si="7"/>
        <v>0</v>
      </c>
      <c r="K38" s="129">
        <f t="shared" si="7"/>
        <v>0</v>
      </c>
      <c r="L38" s="129">
        <f t="shared" si="7"/>
        <v>0</v>
      </c>
      <c r="M38" s="129">
        <f t="shared" si="7"/>
        <v>0</v>
      </c>
      <c r="N38" s="129">
        <f t="shared" si="7"/>
        <v>26</v>
      </c>
      <c r="O38" s="129">
        <f t="shared" si="7"/>
        <v>0</v>
      </c>
      <c r="P38" s="129">
        <f t="shared" si="7"/>
        <v>162</v>
      </c>
      <c r="Q38" s="129">
        <f t="shared" si="7"/>
        <v>90</v>
      </c>
      <c r="R38" s="129">
        <f t="shared" si="2"/>
        <v>72</v>
      </c>
      <c r="S38" s="146">
        <f t="shared" si="3"/>
        <v>3</v>
      </c>
    </row>
    <row r="39" spans="1:19" ht="16.5" customHeight="1">
      <c r="A39" s="132" t="s">
        <v>420</v>
      </c>
      <c r="B39" s="133" t="s">
        <v>193</v>
      </c>
      <c r="C39" s="89">
        <v>74</v>
      </c>
      <c r="D39" s="89">
        <f t="shared" si="4"/>
        <v>88</v>
      </c>
      <c r="E39" s="134">
        <v>0</v>
      </c>
      <c r="F39" s="135">
        <v>62</v>
      </c>
      <c r="G39" s="134">
        <v>0</v>
      </c>
      <c r="H39" s="134">
        <v>0</v>
      </c>
      <c r="I39" s="134"/>
      <c r="J39" s="89"/>
      <c r="K39" s="89"/>
      <c r="L39" s="89"/>
      <c r="M39" s="89"/>
      <c r="N39" s="89">
        <v>26</v>
      </c>
      <c r="O39" s="89">
        <v>0</v>
      </c>
      <c r="P39" s="89">
        <f t="shared" si="5"/>
        <v>162</v>
      </c>
      <c r="Q39" s="89">
        <v>90</v>
      </c>
      <c r="R39" s="89">
        <f t="shared" si="2"/>
        <v>72</v>
      </c>
      <c r="S39" s="145">
        <f t="shared" si="3"/>
        <v>5</v>
      </c>
    </row>
    <row r="40" spans="1:19" ht="16.5" customHeight="1">
      <c r="A40" s="132" t="s">
        <v>421</v>
      </c>
      <c r="B40" s="133" t="s">
        <v>194</v>
      </c>
      <c r="C40" s="89">
        <v>0</v>
      </c>
      <c r="D40" s="89">
        <f t="shared" si="4"/>
        <v>0</v>
      </c>
      <c r="E40" s="134">
        <v>0</v>
      </c>
      <c r="F40" s="135"/>
      <c r="G40" s="134">
        <v>0</v>
      </c>
      <c r="H40" s="134">
        <v>0</v>
      </c>
      <c r="I40" s="134"/>
      <c r="J40" s="89"/>
      <c r="K40" s="89"/>
      <c r="L40" s="89"/>
      <c r="M40" s="89"/>
      <c r="N40" s="89"/>
      <c r="O40" s="89">
        <v>0</v>
      </c>
      <c r="P40" s="89">
        <f t="shared" si="5"/>
        <v>0</v>
      </c>
      <c r="Q40" s="89">
        <v>0</v>
      </c>
      <c r="R40" s="89">
        <f t="shared" si="2"/>
        <v>0</v>
      </c>
      <c r="S40" s="145">
        <f t="shared" si="3"/>
        <v>5</v>
      </c>
    </row>
    <row r="41" spans="1:19" s="107" customFormat="1" ht="16.5" customHeight="1">
      <c r="A41" s="127" t="s">
        <v>422</v>
      </c>
      <c r="B41" s="128" t="s">
        <v>195</v>
      </c>
      <c r="C41" s="129">
        <f>SUM(C42:C52)</f>
        <v>9293</v>
      </c>
      <c r="D41" s="129">
        <f aca="true" t="shared" si="8" ref="D41:Q41">SUM(D42:D52)</f>
        <v>1701</v>
      </c>
      <c r="E41" s="129">
        <f t="shared" si="8"/>
        <v>0</v>
      </c>
      <c r="F41" s="129">
        <f t="shared" si="8"/>
        <v>1612</v>
      </c>
      <c r="G41" s="129">
        <f t="shared" si="8"/>
        <v>0</v>
      </c>
      <c r="H41" s="129">
        <f t="shared" si="8"/>
        <v>0</v>
      </c>
      <c r="I41" s="129">
        <f t="shared" si="8"/>
        <v>0</v>
      </c>
      <c r="J41" s="129">
        <f t="shared" si="8"/>
        <v>0</v>
      </c>
      <c r="K41" s="129">
        <f t="shared" si="8"/>
        <v>0</v>
      </c>
      <c r="L41" s="129">
        <f t="shared" si="8"/>
        <v>200</v>
      </c>
      <c r="M41" s="129">
        <f t="shared" si="8"/>
        <v>0</v>
      </c>
      <c r="N41" s="129">
        <f t="shared" si="8"/>
        <v>139</v>
      </c>
      <c r="O41" s="129">
        <f t="shared" si="8"/>
        <v>-250</v>
      </c>
      <c r="P41" s="129">
        <f t="shared" si="8"/>
        <v>10994</v>
      </c>
      <c r="Q41" s="129">
        <f t="shared" si="8"/>
        <v>8087</v>
      </c>
      <c r="R41" s="129">
        <f t="shared" si="2"/>
        <v>2907</v>
      </c>
      <c r="S41" s="146">
        <f t="shared" si="3"/>
        <v>3</v>
      </c>
    </row>
    <row r="42" spans="1:19" ht="16.5" customHeight="1">
      <c r="A42" s="132" t="s">
        <v>423</v>
      </c>
      <c r="B42" s="133" t="s">
        <v>196</v>
      </c>
      <c r="C42" s="89">
        <v>14</v>
      </c>
      <c r="D42" s="89">
        <f t="shared" si="4"/>
        <v>43</v>
      </c>
      <c r="E42" s="134">
        <v>0</v>
      </c>
      <c r="F42" s="135"/>
      <c r="G42" s="134">
        <v>0</v>
      </c>
      <c r="H42" s="134"/>
      <c r="I42" s="134"/>
      <c r="J42" s="89">
        <v>35</v>
      </c>
      <c r="K42" s="89"/>
      <c r="L42" s="89"/>
      <c r="M42" s="89"/>
      <c r="N42" s="89">
        <v>8</v>
      </c>
      <c r="O42" s="89"/>
      <c r="P42" s="89">
        <f t="shared" si="5"/>
        <v>57</v>
      </c>
      <c r="Q42" s="89">
        <v>41</v>
      </c>
      <c r="R42" s="89">
        <f t="shared" si="2"/>
        <v>16</v>
      </c>
      <c r="S42" s="145">
        <f t="shared" si="3"/>
        <v>5</v>
      </c>
    </row>
    <row r="43" spans="1:19" ht="16.5" customHeight="1">
      <c r="A43" s="132" t="s">
        <v>424</v>
      </c>
      <c r="B43" s="133" t="s">
        <v>197</v>
      </c>
      <c r="C43" s="89">
        <v>8218</v>
      </c>
      <c r="D43" s="89">
        <f t="shared" si="4"/>
        <v>1344</v>
      </c>
      <c r="E43" s="134">
        <v>0</v>
      </c>
      <c r="F43" s="135">
        <f>1927-500</f>
        <v>1427</v>
      </c>
      <c r="G43" s="134">
        <v>0</v>
      </c>
      <c r="H43" s="134"/>
      <c r="I43" s="134"/>
      <c r="J43" s="89">
        <v>-155</v>
      </c>
      <c r="K43" s="89"/>
      <c r="L43" s="89">
        <v>200</v>
      </c>
      <c r="M43" s="89"/>
      <c r="N43" s="89">
        <v>122</v>
      </c>
      <c r="O43" s="89">
        <v>-250</v>
      </c>
      <c r="P43" s="89">
        <f t="shared" si="5"/>
        <v>9562</v>
      </c>
      <c r="Q43" s="89">
        <v>6802</v>
      </c>
      <c r="R43" s="89">
        <f t="shared" si="2"/>
        <v>2760</v>
      </c>
      <c r="S43" s="145">
        <f t="shared" si="3"/>
        <v>5</v>
      </c>
    </row>
    <row r="44" spans="1:19" ht="16.5" customHeight="1">
      <c r="A44" s="132" t="s">
        <v>425</v>
      </c>
      <c r="B44" s="133" t="s">
        <v>198</v>
      </c>
      <c r="C44" s="89">
        <v>3</v>
      </c>
      <c r="D44" s="89">
        <f t="shared" si="4"/>
        <v>0</v>
      </c>
      <c r="E44" s="134">
        <v>0</v>
      </c>
      <c r="F44" s="135"/>
      <c r="G44" s="134">
        <v>0</v>
      </c>
      <c r="H44" s="134"/>
      <c r="I44" s="134"/>
      <c r="J44" s="89"/>
      <c r="K44" s="89"/>
      <c r="L44" s="89"/>
      <c r="M44" s="89"/>
      <c r="N44" s="89"/>
      <c r="O44" s="89"/>
      <c r="P44" s="89">
        <f t="shared" si="5"/>
        <v>3</v>
      </c>
      <c r="Q44" s="89">
        <v>0</v>
      </c>
      <c r="R44" s="89">
        <f t="shared" si="2"/>
        <v>3</v>
      </c>
      <c r="S44" s="145">
        <f t="shared" si="3"/>
        <v>5</v>
      </c>
    </row>
    <row r="45" spans="1:19" ht="16.5" customHeight="1">
      <c r="A45" s="132" t="s">
        <v>426</v>
      </c>
      <c r="B45" s="133" t="s">
        <v>199</v>
      </c>
      <c r="C45" s="89">
        <v>98</v>
      </c>
      <c r="D45" s="89">
        <f t="shared" si="4"/>
        <v>50</v>
      </c>
      <c r="E45" s="134">
        <v>0</v>
      </c>
      <c r="F45" s="135"/>
      <c r="G45" s="134">
        <v>0</v>
      </c>
      <c r="H45" s="134"/>
      <c r="I45" s="134"/>
      <c r="J45" s="89">
        <v>50</v>
      </c>
      <c r="K45" s="89"/>
      <c r="L45" s="89"/>
      <c r="M45" s="89"/>
      <c r="N45" s="89"/>
      <c r="O45" s="89"/>
      <c r="P45" s="89">
        <f t="shared" si="5"/>
        <v>148</v>
      </c>
      <c r="Q45" s="89">
        <v>133</v>
      </c>
      <c r="R45" s="89">
        <f t="shared" si="2"/>
        <v>15</v>
      </c>
      <c r="S45" s="145">
        <f t="shared" si="3"/>
        <v>5</v>
      </c>
    </row>
    <row r="46" spans="1:19" ht="16.5" customHeight="1">
      <c r="A46" s="132" t="s">
        <v>427</v>
      </c>
      <c r="B46" s="133" t="s">
        <v>200</v>
      </c>
      <c r="C46" s="89">
        <v>178</v>
      </c>
      <c r="D46" s="89">
        <f t="shared" si="4"/>
        <v>70</v>
      </c>
      <c r="E46" s="134">
        <v>0</v>
      </c>
      <c r="F46" s="135"/>
      <c r="G46" s="134">
        <v>0</v>
      </c>
      <c r="H46" s="134"/>
      <c r="I46" s="134"/>
      <c r="J46" s="89">
        <v>70</v>
      </c>
      <c r="K46" s="89"/>
      <c r="L46" s="89"/>
      <c r="M46" s="89"/>
      <c r="N46" s="89"/>
      <c r="O46" s="89"/>
      <c r="P46" s="89">
        <f t="shared" si="5"/>
        <v>248</v>
      </c>
      <c r="Q46" s="89">
        <v>237</v>
      </c>
      <c r="R46" s="89">
        <f t="shared" si="2"/>
        <v>11</v>
      </c>
      <c r="S46" s="145">
        <f t="shared" si="3"/>
        <v>5</v>
      </c>
    </row>
    <row r="47" spans="1:19" ht="16.5" customHeight="1">
      <c r="A47" s="132" t="s">
        <v>428</v>
      </c>
      <c r="B47" s="133" t="s">
        <v>201</v>
      </c>
      <c r="C47" s="89">
        <v>781</v>
      </c>
      <c r="D47" s="89">
        <f t="shared" si="4"/>
        <v>181</v>
      </c>
      <c r="E47" s="134">
        <v>0</v>
      </c>
      <c r="F47" s="135">
        <v>172</v>
      </c>
      <c r="G47" s="134">
        <v>0</v>
      </c>
      <c r="H47" s="134"/>
      <c r="I47" s="134"/>
      <c r="J47" s="89"/>
      <c r="K47" s="89"/>
      <c r="L47" s="89"/>
      <c r="M47" s="89"/>
      <c r="N47" s="89">
        <v>9</v>
      </c>
      <c r="O47" s="89"/>
      <c r="P47" s="89">
        <f t="shared" si="5"/>
        <v>962</v>
      </c>
      <c r="Q47" s="89">
        <v>874</v>
      </c>
      <c r="R47" s="89">
        <f t="shared" si="2"/>
        <v>88</v>
      </c>
      <c r="S47" s="145">
        <f t="shared" si="3"/>
        <v>5</v>
      </c>
    </row>
    <row r="48" spans="1:19" ht="16.5" customHeight="1">
      <c r="A48" s="132" t="s">
        <v>429</v>
      </c>
      <c r="B48" s="133" t="s">
        <v>202</v>
      </c>
      <c r="C48" s="89">
        <v>0</v>
      </c>
      <c r="D48" s="89">
        <f t="shared" si="4"/>
        <v>0</v>
      </c>
      <c r="E48" s="134">
        <v>0</v>
      </c>
      <c r="F48" s="135"/>
      <c r="G48" s="134">
        <v>0</v>
      </c>
      <c r="H48" s="134"/>
      <c r="I48" s="134"/>
      <c r="J48" s="89"/>
      <c r="K48" s="89"/>
      <c r="L48" s="89"/>
      <c r="M48" s="89"/>
      <c r="N48" s="89"/>
      <c r="O48" s="89"/>
      <c r="P48" s="89">
        <f t="shared" si="5"/>
        <v>0</v>
      </c>
      <c r="Q48" s="89">
        <v>0</v>
      </c>
      <c r="R48" s="89">
        <f t="shared" si="2"/>
        <v>0</v>
      </c>
      <c r="S48" s="145">
        <f t="shared" si="3"/>
        <v>5</v>
      </c>
    </row>
    <row r="49" spans="1:19" ht="16.5" customHeight="1">
      <c r="A49" s="132" t="s">
        <v>430</v>
      </c>
      <c r="B49" s="262" t="s">
        <v>203</v>
      </c>
      <c r="C49" s="89">
        <v>0</v>
      </c>
      <c r="D49" s="89">
        <f t="shared" si="4"/>
        <v>0</v>
      </c>
      <c r="E49" s="134">
        <v>0</v>
      </c>
      <c r="F49" s="135"/>
      <c r="G49" s="134">
        <v>0</v>
      </c>
      <c r="H49" s="134"/>
      <c r="I49" s="134"/>
      <c r="J49" s="89"/>
      <c r="K49" s="89"/>
      <c r="L49" s="89"/>
      <c r="M49" s="89"/>
      <c r="N49" s="89"/>
      <c r="O49" s="89"/>
      <c r="P49" s="89">
        <f t="shared" si="5"/>
        <v>0</v>
      </c>
      <c r="Q49" s="89">
        <v>0</v>
      </c>
      <c r="R49" s="89">
        <f t="shared" si="2"/>
        <v>0</v>
      </c>
      <c r="S49" s="145">
        <f t="shared" si="3"/>
        <v>5</v>
      </c>
    </row>
    <row r="50" spans="1:19" ht="16.5" customHeight="1">
      <c r="A50" s="132" t="s">
        <v>431</v>
      </c>
      <c r="B50" s="133" t="s">
        <v>204</v>
      </c>
      <c r="C50" s="89">
        <v>0</v>
      </c>
      <c r="D50" s="89">
        <f t="shared" si="4"/>
        <v>0</v>
      </c>
      <c r="E50" s="134">
        <v>0</v>
      </c>
      <c r="F50" s="135"/>
      <c r="G50" s="134">
        <v>0</v>
      </c>
      <c r="H50" s="134"/>
      <c r="I50" s="134"/>
      <c r="J50" s="89"/>
      <c r="K50" s="89"/>
      <c r="L50" s="89"/>
      <c r="M50" s="89"/>
      <c r="N50" s="89"/>
      <c r="O50" s="89"/>
      <c r="P50" s="89">
        <f t="shared" si="5"/>
        <v>0</v>
      </c>
      <c r="Q50" s="89">
        <v>0</v>
      </c>
      <c r="R50" s="89">
        <f t="shared" si="2"/>
        <v>0</v>
      </c>
      <c r="S50" s="145">
        <f t="shared" si="3"/>
        <v>5</v>
      </c>
    </row>
    <row r="51" spans="1:19" ht="16.5" customHeight="1">
      <c r="A51" s="132" t="s">
        <v>432</v>
      </c>
      <c r="B51" s="133" t="s">
        <v>205</v>
      </c>
      <c r="C51" s="89">
        <v>0</v>
      </c>
      <c r="D51" s="89">
        <f t="shared" si="4"/>
        <v>0</v>
      </c>
      <c r="E51" s="134">
        <v>0</v>
      </c>
      <c r="F51" s="135"/>
      <c r="G51" s="134">
        <v>0</v>
      </c>
      <c r="H51" s="134"/>
      <c r="I51" s="134"/>
      <c r="J51" s="89"/>
      <c r="K51" s="89"/>
      <c r="L51" s="89"/>
      <c r="M51" s="89"/>
      <c r="N51" s="89"/>
      <c r="O51" s="89"/>
      <c r="P51" s="89">
        <f t="shared" si="5"/>
        <v>0</v>
      </c>
      <c r="Q51" s="89">
        <v>0</v>
      </c>
      <c r="R51" s="89">
        <f t="shared" si="2"/>
        <v>0</v>
      </c>
      <c r="S51" s="145">
        <f t="shared" si="3"/>
        <v>5</v>
      </c>
    </row>
    <row r="52" spans="1:19" ht="16.5" customHeight="1">
      <c r="A52" s="132" t="s">
        <v>433</v>
      </c>
      <c r="B52" s="133" t="s">
        <v>206</v>
      </c>
      <c r="C52" s="89">
        <v>1</v>
      </c>
      <c r="D52" s="89">
        <f t="shared" si="4"/>
        <v>13</v>
      </c>
      <c r="E52" s="134">
        <v>0</v>
      </c>
      <c r="F52" s="135">
        <v>13</v>
      </c>
      <c r="G52" s="134">
        <v>0</v>
      </c>
      <c r="H52" s="134"/>
      <c r="I52" s="134"/>
      <c r="J52" s="89"/>
      <c r="K52" s="89"/>
      <c r="L52" s="89"/>
      <c r="M52" s="89"/>
      <c r="N52" s="89"/>
      <c r="O52" s="89"/>
      <c r="P52" s="89">
        <f t="shared" si="5"/>
        <v>14</v>
      </c>
      <c r="Q52" s="89"/>
      <c r="R52" s="89">
        <f t="shared" si="2"/>
        <v>14</v>
      </c>
      <c r="S52" s="145">
        <f t="shared" si="3"/>
        <v>5</v>
      </c>
    </row>
    <row r="53" spans="1:19" s="107" customFormat="1" ht="16.5" customHeight="1">
      <c r="A53" s="127" t="s">
        <v>434</v>
      </c>
      <c r="B53" s="128" t="s">
        <v>207</v>
      </c>
      <c r="C53" s="129">
        <f>SUM(C54:C63)</f>
        <v>83984</v>
      </c>
      <c r="D53" s="129">
        <f>SUM(D54:D63)</f>
        <v>-8611</v>
      </c>
      <c r="E53" s="130">
        <f aca="true" t="shared" si="9" ref="E53:Q53">SUM(E54:E63)</f>
        <v>1594</v>
      </c>
      <c r="F53" s="131">
        <f t="shared" si="9"/>
        <v>1306</v>
      </c>
      <c r="G53" s="131">
        <f t="shared" si="9"/>
        <v>38</v>
      </c>
      <c r="H53" s="131">
        <f t="shared" si="9"/>
        <v>0</v>
      </c>
      <c r="I53" s="131">
        <f t="shared" si="9"/>
        <v>0</v>
      </c>
      <c r="J53" s="131">
        <f t="shared" si="9"/>
        <v>0</v>
      </c>
      <c r="K53" s="129">
        <f t="shared" si="9"/>
        <v>0</v>
      </c>
      <c r="L53" s="129">
        <f t="shared" si="9"/>
        <v>1108</v>
      </c>
      <c r="M53" s="129">
        <f t="shared" si="9"/>
        <v>0</v>
      </c>
      <c r="N53" s="129">
        <f t="shared" si="9"/>
        <v>-12657</v>
      </c>
      <c r="O53" s="129">
        <f t="shared" si="9"/>
        <v>0</v>
      </c>
      <c r="P53" s="129">
        <f t="shared" si="9"/>
        <v>75373</v>
      </c>
      <c r="Q53" s="129">
        <f t="shared" si="9"/>
        <v>61798</v>
      </c>
      <c r="R53" s="129">
        <f t="shared" si="2"/>
        <v>13575</v>
      </c>
      <c r="S53" s="146">
        <f t="shared" si="3"/>
        <v>3</v>
      </c>
    </row>
    <row r="54" spans="1:19" ht="16.5" customHeight="1">
      <c r="A54" s="132" t="s">
        <v>435</v>
      </c>
      <c r="B54" s="133" t="s">
        <v>208</v>
      </c>
      <c r="C54" s="89">
        <v>210</v>
      </c>
      <c r="D54" s="89">
        <f t="shared" si="4"/>
        <v>13</v>
      </c>
      <c r="E54" s="134">
        <v>0</v>
      </c>
      <c r="F54" s="135">
        <v>0</v>
      </c>
      <c r="G54" s="134">
        <v>0</v>
      </c>
      <c r="H54" s="134">
        <v>0</v>
      </c>
      <c r="I54" s="134"/>
      <c r="J54" s="89">
        <v>10</v>
      </c>
      <c r="K54" s="89"/>
      <c r="L54" s="89"/>
      <c r="M54" s="89"/>
      <c r="N54" s="89">
        <v>3</v>
      </c>
      <c r="O54" s="89">
        <v>0</v>
      </c>
      <c r="P54" s="89">
        <f t="shared" si="5"/>
        <v>223</v>
      </c>
      <c r="Q54" s="89">
        <v>220</v>
      </c>
      <c r="R54" s="89">
        <f t="shared" si="2"/>
        <v>3</v>
      </c>
      <c r="S54" s="145">
        <f t="shared" si="3"/>
        <v>5</v>
      </c>
    </row>
    <row r="55" spans="1:19" ht="16.5" customHeight="1">
      <c r="A55" s="132" t="s">
        <v>436</v>
      </c>
      <c r="B55" s="133" t="s">
        <v>209</v>
      </c>
      <c r="C55" s="89">
        <v>80184</v>
      </c>
      <c r="D55" s="89">
        <f t="shared" si="4"/>
        <v>-8637</v>
      </c>
      <c r="E55" s="134">
        <v>1594</v>
      </c>
      <c r="F55" s="135">
        <f>1806-500</f>
        <v>1306</v>
      </c>
      <c r="G55" s="134">
        <v>38</v>
      </c>
      <c r="H55" s="134"/>
      <c r="I55" s="134"/>
      <c r="J55" s="89">
        <v>-20</v>
      </c>
      <c r="K55" s="89"/>
      <c r="L55" s="89">
        <v>1108</v>
      </c>
      <c r="M55" s="89"/>
      <c r="N55" s="89">
        <v>-12663</v>
      </c>
      <c r="O55" s="89">
        <v>0</v>
      </c>
      <c r="P55" s="89">
        <f t="shared" si="5"/>
        <v>71547</v>
      </c>
      <c r="Q55" s="89">
        <v>60871</v>
      </c>
      <c r="R55" s="89">
        <f t="shared" si="2"/>
        <v>10676</v>
      </c>
      <c r="S55" s="145">
        <f t="shared" si="3"/>
        <v>5</v>
      </c>
    </row>
    <row r="56" spans="1:19" ht="16.5" customHeight="1">
      <c r="A56" s="132" t="s">
        <v>437</v>
      </c>
      <c r="B56" s="133" t="s">
        <v>210</v>
      </c>
      <c r="C56" s="89">
        <v>300</v>
      </c>
      <c r="D56" s="89">
        <f t="shared" si="4"/>
        <v>0</v>
      </c>
      <c r="E56" s="134"/>
      <c r="F56" s="135"/>
      <c r="G56" s="134"/>
      <c r="H56" s="134"/>
      <c r="I56" s="134"/>
      <c r="J56" s="89"/>
      <c r="K56" s="89"/>
      <c r="L56" s="89"/>
      <c r="M56" s="89"/>
      <c r="N56" s="89"/>
      <c r="O56" s="89">
        <v>0</v>
      </c>
      <c r="P56" s="89">
        <f t="shared" si="5"/>
        <v>300</v>
      </c>
      <c r="Q56" s="89">
        <v>85</v>
      </c>
      <c r="R56" s="89">
        <f t="shared" si="2"/>
        <v>215</v>
      </c>
      <c r="S56" s="145">
        <f t="shared" si="3"/>
        <v>5</v>
      </c>
    </row>
    <row r="57" spans="1:19" ht="16.5" customHeight="1">
      <c r="A57" s="132" t="s">
        <v>438</v>
      </c>
      <c r="B57" s="133" t="s">
        <v>211</v>
      </c>
      <c r="C57" s="89">
        <v>0</v>
      </c>
      <c r="D57" s="89">
        <f t="shared" si="4"/>
        <v>0</v>
      </c>
      <c r="E57" s="134"/>
      <c r="F57" s="135"/>
      <c r="G57" s="134"/>
      <c r="H57" s="134"/>
      <c r="I57" s="134"/>
      <c r="J57" s="89"/>
      <c r="K57" s="89"/>
      <c r="L57" s="89"/>
      <c r="M57" s="89"/>
      <c r="N57" s="89"/>
      <c r="O57" s="89">
        <v>0</v>
      </c>
      <c r="P57" s="89">
        <f t="shared" si="5"/>
        <v>0</v>
      </c>
      <c r="Q57" s="89">
        <v>0</v>
      </c>
      <c r="R57" s="89">
        <f t="shared" si="2"/>
        <v>0</v>
      </c>
      <c r="S57" s="145">
        <f t="shared" si="3"/>
        <v>5</v>
      </c>
    </row>
    <row r="58" spans="1:19" ht="16.5" customHeight="1">
      <c r="A58" s="132" t="s">
        <v>439</v>
      </c>
      <c r="B58" s="133" t="s">
        <v>212</v>
      </c>
      <c r="C58" s="89">
        <v>0</v>
      </c>
      <c r="D58" s="89">
        <f t="shared" si="4"/>
        <v>0</v>
      </c>
      <c r="E58" s="134"/>
      <c r="F58" s="135"/>
      <c r="G58" s="134"/>
      <c r="H58" s="134"/>
      <c r="I58" s="134"/>
      <c r="J58" s="89"/>
      <c r="K58" s="89"/>
      <c r="L58" s="89"/>
      <c r="M58" s="89"/>
      <c r="N58" s="89"/>
      <c r="O58" s="89">
        <v>0</v>
      </c>
      <c r="P58" s="89">
        <f t="shared" si="5"/>
        <v>0</v>
      </c>
      <c r="Q58" s="89"/>
      <c r="R58" s="89">
        <f t="shared" si="2"/>
        <v>0</v>
      </c>
      <c r="S58" s="145">
        <f t="shared" si="3"/>
        <v>5</v>
      </c>
    </row>
    <row r="59" spans="1:19" ht="16.5" customHeight="1">
      <c r="A59" s="132" t="s">
        <v>440</v>
      </c>
      <c r="B59" s="133" t="s">
        <v>213</v>
      </c>
      <c r="C59" s="89">
        <v>0</v>
      </c>
      <c r="D59" s="89">
        <f t="shared" si="4"/>
        <v>0</v>
      </c>
      <c r="E59" s="134"/>
      <c r="F59" s="135"/>
      <c r="G59" s="134"/>
      <c r="H59" s="134"/>
      <c r="I59" s="134"/>
      <c r="J59" s="89"/>
      <c r="K59" s="89"/>
      <c r="L59" s="89"/>
      <c r="M59" s="89"/>
      <c r="N59" s="89"/>
      <c r="O59" s="89">
        <v>0</v>
      </c>
      <c r="P59" s="89">
        <f t="shared" si="5"/>
        <v>0</v>
      </c>
      <c r="Q59" s="89">
        <v>0</v>
      </c>
      <c r="R59" s="89">
        <f t="shared" si="2"/>
        <v>0</v>
      </c>
      <c r="S59" s="145">
        <f t="shared" si="3"/>
        <v>5</v>
      </c>
    </row>
    <row r="60" spans="1:19" ht="16.5" customHeight="1">
      <c r="A60" s="132" t="s">
        <v>441</v>
      </c>
      <c r="B60" s="133" t="s">
        <v>214</v>
      </c>
      <c r="C60" s="89">
        <v>316</v>
      </c>
      <c r="D60" s="89">
        <f t="shared" si="4"/>
        <v>0</v>
      </c>
      <c r="E60" s="134"/>
      <c r="F60" s="135"/>
      <c r="G60" s="134"/>
      <c r="H60" s="134"/>
      <c r="I60" s="134"/>
      <c r="J60" s="89"/>
      <c r="K60" s="89"/>
      <c r="L60" s="89"/>
      <c r="M60" s="89"/>
      <c r="N60" s="89"/>
      <c r="O60" s="89">
        <v>0</v>
      </c>
      <c r="P60" s="89">
        <f t="shared" si="5"/>
        <v>316</v>
      </c>
      <c r="Q60" s="89">
        <v>307</v>
      </c>
      <c r="R60" s="89">
        <f t="shared" si="2"/>
        <v>9</v>
      </c>
      <c r="S60" s="145">
        <f t="shared" si="3"/>
        <v>5</v>
      </c>
    </row>
    <row r="61" spans="1:19" ht="16.5" customHeight="1">
      <c r="A61" s="132" t="s">
        <v>442</v>
      </c>
      <c r="B61" s="262" t="s">
        <v>215</v>
      </c>
      <c r="C61" s="89">
        <v>272</v>
      </c>
      <c r="D61" s="89">
        <f t="shared" si="4"/>
        <v>13</v>
      </c>
      <c r="E61" s="134"/>
      <c r="F61" s="135"/>
      <c r="G61" s="134"/>
      <c r="H61" s="134"/>
      <c r="I61" s="134"/>
      <c r="J61" s="89">
        <v>10</v>
      </c>
      <c r="K61" s="89"/>
      <c r="L61" s="89"/>
      <c r="M61" s="89"/>
      <c r="N61" s="89">
        <v>3</v>
      </c>
      <c r="O61" s="89">
        <v>0</v>
      </c>
      <c r="P61" s="89">
        <f t="shared" si="5"/>
        <v>285</v>
      </c>
      <c r="Q61" s="89">
        <v>277</v>
      </c>
      <c r="R61" s="89">
        <f t="shared" si="2"/>
        <v>8</v>
      </c>
      <c r="S61" s="145">
        <f t="shared" si="3"/>
        <v>5</v>
      </c>
    </row>
    <row r="62" spans="1:19" ht="16.5" customHeight="1">
      <c r="A62" s="132" t="s">
        <v>443</v>
      </c>
      <c r="B62" s="133" t="s">
        <v>216</v>
      </c>
      <c r="C62" s="89">
        <v>2702</v>
      </c>
      <c r="D62" s="89">
        <f t="shared" si="4"/>
        <v>0</v>
      </c>
      <c r="E62" s="134"/>
      <c r="F62" s="135"/>
      <c r="G62" s="134"/>
      <c r="H62" s="134"/>
      <c r="I62" s="134"/>
      <c r="J62" s="89"/>
      <c r="K62" s="89"/>
      <c r="L62" s="89"/>
      <c r="M62" s="89"/>
      <c r="N62" s="89"/>
      <c r="O62" s="89"/>
      <c r="P62" s="89">
        <f t="shared" si="5"/>
        <v>2702</v>
      </c>
      <c r="Q62" s="89">
        <v>38</v>
      </c>
      <c r="R62" s="89">
        <f t="shared" si="2"/>
        <v>2664</v>
      </c>
      <c r="S62" s="145">
        <f t="shared" si="3"/>
        <v>5</v>
      </c>
    </row>
    <row r="63" spans="1:19" ht="16.5" customHeight="1">
      <c r="A63" s="132" t="s">
        <v>444</v>
      </c>
      <c r="B63" s="133" t="s">
        <v>217</v>
      </c>
      <c r="C63" s="89">
        <v>0</v>
      </c>
      <c r="D63" s="89">
        <f t="shared" si="4"/>
        <v>0</v>
      </c>
      <c r="E63" s="134"/>
      <c r="F63" s="135"/>
      <c r="G63" s="134"/>
      <c r="H63" s="134"/>
      <c r="I63" s="134"/>
      <c r="J63" s="89"/>
      <c r="K63" s="89"/>
      <c r="L63" s="89"/>
      <c r="M63" s="89"/>
      <c r="N63" s="89"/>
      <c r="O63" s="89">
        <v>0</v>
      </c>
      <c r="P63" s="89">
        <f t="shared" si="5"/>
        <v>0</v>
      </c>
      <c r="Q63" s="89"/>
      <c r="R63" s="89">
        <f t="shared" si="2"/>
        <v>0</v>
      </c>
      <c r="S63" s="145">
        <f t="shared" si="3"/>
        <v>5</v>
      </c>
    </row>
    <row r="64" spans="1:19" s="107" customFormat="1" ht="16.5" customHeight="1">
      <c r="A64" s="127" t="s">
        <v>445</v>
      </c>
      <c r="B64" s="128" t="s">
        <v>218</v>
      </c>
      <c r="C64" s="129">
        <f>SUM(C65:C74)</f>
        <v>3233</v>
      </c>
      <c r="D64" s="129">
        <f>SUM(D65:D74)</f>
        <v>-1086</v>
      </c>
      <c r="E64" s="130">
        <f aca="true" t="shared" si="10" ref="E64:Q64">SUM(E65:E74)</f>
        <v>0</v>
      </c>
      <c r="F64" s="131">
        <f t="shared" si="10"/>
        <v>15</v>
      </c>
      <c r="G64" s="131">
        <f t="shared" si="10"/>
        <v>0</v>
      </c>
      <c r="H64" s="131">
        <f t="shared" si="10"/>
        <v>0</v>
      </c>
      <c r="I64" s="131">
        <f t="shared" si="10"/>
        <v>0</v>
      </c>
      <c r="J64" s="131">
        <f t="shared" si="10"/>
        <v>0</v>
      </c>
      <c r="K64" s="129">
        <f t="shared" si="10"/>
        <v>0</v>
      </c>
      <c r="L64" s="129">
        <f t="shared" si="10"/>
        <v>0</v>
      </c>
      <c r="M64" s="129">
        <f t="shared" si="10"/>
        <v>0</v>
      </c>
      <c r="N64" s="129">
        <f t="shared" si="10"/>
        <v>-1101</v>
      </c>
      <c r="O64" s="129">
        <f t="shared" si="10"/>
        <v>0</v>
      </c>
      <c r="P64" s="129">
        <f t="shared" si="10"/>
        <v>2147</v>
      </c>
      <c r="Q64" s="129">
        <f t="shared" si="10"/>
        <v>1015</v>
      </c>
      <c r="R64" s="129">
        <f t="shared" si="2"/>
        <v>1132</v>
      </c>
      <c r="S64" s="146">
        <f t="shared" si="3"/>
        <v>3</v>
      </c>
    </row>
    <row r="65" spans="1:19" ht="16.5" customHeight="1">
      <c r="A65" s="132" t="s">
        <v>446</v>
      </c>
      <c r="B65" s="133" t="s">
        <v>219</v>
      </c>
      <c r="C65" s="89">
        <v>363</v>
      </c>
      <c r="D65" s="89">
        <f t="shared" si="4"/>
        <v>0</v>
      </c>
      <c r="E65" s="134"/>
      <c r="F65" s="135"/>
      <c r="G65" s="134">
        <v>0</v>
      </c>
      <c r="H65" s="134">
        <v>0</v>
      </c>
      <c r="I65" s="134"/>
      <c r="J65" s="89"/>
      <c r="K65" s="89"/>
      <c r="L65" s="89"/>
      <c r="M65" s="89"/>
      <c r="N65" s="89"/>
      <c r="O65" s="89">
        <v>0</v>
      </c>
      <c r="P65" s="89">
        <f t="shared" si="5"/>
        <v>363</v>
      </c>
      <c r="Q65" s="89">
        <v>319</v>
      </c>
      <c r="R65" s="89">
        <f t="shared" si="2"/>
        <v>44</v>
      </c>
      <c r="S65" s="145">
        <f t="shared" si="3"/>
        <v>5</v>
      </c>
    </row>
    <row r="66" spans="1:19" ht="16.5" customHeight="1">
      <c r="A66" s="132" t="s">
        <v>447</v>
      </c>
      <c r="B66" s="133" t="s">
        <v>220</v>
      </c>
      <c r="C66" s="89">
        <v>98</v>
      </c>
      <c r="D66" s="89">
        <f t="shared" si="4"/>
        <v>45</v>
      </c>
      <c r="E66" s="134"/>
      <c r="F66" s="135"/>
      <c r="G66" s="134">
        <v>0</v>
      </c>
      <c r="H66" s="134">
        <v>0</v>
      </c>
      <c r="I66" s="134"/>
      <c r="J66" s="89">
        <v>45</v>
      </c>
      <c r="K66" s="89"/>
      <c r="L66" s="89"/>
      <c r="M66" s="89"/>
      <c r="N66" s="89"/>
      <c r="O66" s="89">
        <v>0</v>
      </c>
      <c r="P66" s="89">
        <f t="shared" si="5"/>
        <v>143</v>
      </c>
      <c r="Q66" s="89">
        <v>127</v>
      </c>
      <c r="R66" s="89">
        <f t="shared" si="2"/>
        <v>16</v>
      </c>
      <c r="S66" s="145">
        <f t="shared" si="3"/>
        <v>5</v>
      </c>
    </row>
    <row r="67" spans="1:19" ht="16.5" customHeight="1">
      <c r="A67" s="132" t="s">
        <v>448</v>
      </c>
      <c r="B67" s="133" t="s">
        <v>221</v>
      </c>
      <c r="C67" s="89">
        <v>0</v>
      </c>
      <c r="D67" s="89">
        <f t="shared" si="4"/>
        <v>0</v>
      </c>
      <c r="E67" s="134"/>
      <c r="F67" s="135"/>
      <c r="G67" s="134">
        <v>0</v>
      </c>
      <c r="H67" s="134">
        <v>0</v>
      </c>
      <c r="I67" s="134"/>
      <c r="J67" s="89"/>
      <c r="K67" s="89"/>
      <c r="L67" s="89"/>
      <c r="M67" s="89"/>
      <c r="N67" s="89"/>
      <c r="O67" s="89">
        <v>0</v>
      </c>
      <c r="P67" s="89">
        <f t="shared" si="5"/>
        <v>0</v>
      </c>
      <c r="Q67" s="89"/>
      <c r="R67" s="89">
        <f t="shared" si="2"/>
        <v>0</v>
      </c>
      <c r="S67" s="145">
        <f t="shared" si="3"/>
        <v>5</v>
      </c>
    </row>
    <row r="68" spans="1:19" ht="16.5" customHeight="1">
      <c r="A68" s="132" t="s">
        <v>449</v>
      </c>
      <c r="B68" s="133" t="s">
        <v>222</v>
      </c>
      <c r="C68" s="89">
        <v>2676</v>
      </c>
      <c r="D68" s="89">
        <f t="shared" si="4"/>
        <v>-1157</v>
      </c>
      <c r="E68" s="134"/>
      <c r="F68" s="135">
        <v>15</v>
      </c>
      <c r="G68" s="134">
        <v>0</v>
      </c>
      <c r="H68" s="134">
        <v>0</v>
      </c>
      <c r="I68" s="134"/>
      <c r="J68" s="89">
        <v>-70</v>
      </c>
      <c r="K68" s="89"/>
      <c r="L68" s="89"/>
      <c r="M68" s="89"/>
      <c r="N68" s="89">
        <f>-1527+425</f>
        <v>-1102</v>
      </c>
      <c r="O68" s="89">
        <v>0</v>
      </c>
      <c r="P68" s="89">
        <f t="shared" si="5"/>
        <v>1519</v>
      </c>
      <c r="Q68" s="89">
        <v>459</v>
      </c>
      <c r="R68" s="89">
        <f t="shared" si="2"/>
        <v>1060</v>
      </c>
      <c r="S68" s="145">
        <f t="shared" si="3"/>
        <v>5</v>
      </c>
    </row>
    <row r="69" spans="1:19" ht="16.5" customHeight="1">
      <c r="A69" s="132" t="s">
        <v>450</v>
      </c>
      <c r="B69" s="133" t="s">
        <v>223</v>
      </c>
      <c r="C69" s="89">
        <v>0</v>
      </c>
      <c r="D69" s="89">
        <f t="shared" si="4"/>
        <v>0</v>
      </c>
      <c r="E69" s="134"/>
      <c r="F69" s="135"/>
      <c r="G69" s="134">
        <v>0</v>
      </c>
      <c r="H69" s="134">
        <v>0</v>
      </c>
      <c r="I69" s="134"/>
      <c r="J69" s="89"/>
      <c r="K69" s="89"/>
      <c r="L69" s="89"/>
      <c r="M69" s="89"/>
      <c r="N69" s="89"/>
      <c r="O69" s="89">
        <v>0</v>
      </c>
      <c r="P69" s="89">
        <f t="shared" si="5"/>
        <v>0</v>
      </c>
      <c r="Q69" s="89">
        <v>0</v>
      </c>
      <c r="R69" s="89">
        <f t="shared" si="2"/>
        <v>0</v>
      </c>
      <c r="S69" s="145">
        <f t="shared" si="3"/>
        <v>5</v>
      </c>
    </row>
    <row r="70" spans="1:19" ht="16.5" customHeight="1">
      <c r="A70" s="132" t="s">
        <v>451</v>
      </c>
      <c r="B70" s="133" t="s">
        <v>224</v>
      </c>
      <c r="C70" s="89">
        <v>0</v>
      </c>
      <c r="D70" s="89">
        <f t="shared" si="4"/>
        <v>0</v>
      </c>
      <c r="E70" s="134"/>
      <c r="F70" s="135"/>
      <c r="G70" s="134">
        <v>0</v>
      </c>
      <c r="H70" s="134">
        <v>0</v>
      </c>
      <c r="I70" s="134"/>
      <c r="J70" s="89"/>
      <c r="K70" s="89"/>
      <c r="L70" s="89"/>
      <c r="M70" s="89"/>
      <c r="N70" s="89"/>
      <c r="O70" s="89">
        <v>0</v>
      </c>
      <c r="P70" s="89">
        <f t="shared" si="5"/>
        <v>0</v>
      </c>
      <c r="Q70" s="89"/>
      <c r="R70" s="89">
        <f t="shared" si="2"/>
        <v>0</v>
      </c>
      <c r="S70" s="145">
        <f t="shared" si="3"/>
        <v>5</v>
      </c>
    </row>
    <row r="71" spans="1:19" ht="16.5" customHeight="1">
      <c r="A71" s="132" t="s">
        <v>452</v>
      </c>
      <c r="B71" s="133" t="s">
        <v>225</v>
      </c>
      <c r="C71" s="89">
        <v>96</v>
      </c>
      <c r="D71" s="89">
        <f t="shared" si="4"/>
        <v>1</v>
      </c>
      <c r="E71" s="134"/>
      <c r="F71" s="135"/>
      <c r="G71" s="134">
        <v>0</v>
      </c>
      <c r="H71" s="134">
        <v>0</v>
      </c>
      <c r="I71" s="134"/>
      <c r="J71" s="89"/>
      <c r="K71" s="89"/>
      <c r="L71" s="89"/>
      <c r="M71" s="89"/>
      <c r="N71" s="89">
        <v>1</v>
      </c>
      <c r="O71" s="89">
        <v>0</v>
      </c>
      <c r="P71" s="89">
        <f t="shared" si="5"/>
        <v>97</v>
      </c>
      <c r="Q71" s="89">
        <v>93</v>
      </c>
      <c r="R71" s="89">
        <f aca="true" t="shared" si="11" ref="R71:R134">P71-Q71</f>
        <v>4</v>
      </c>
      <c r="S71" s="145">
        <f aca="true" t="shared" si="12" ref="S71:S135">LEN(A71)</f>
        <v>5</v>
      </c>
    </row>
    <row r="72" spans="1:19" ht="16.5" customHeight="1">
      <c r="A72" s="132" t="s">
        <v>453</v>
      </c>
      <c r="B72" s="133" t="s">
        <v>226</v>
      </c>
      <c r="C72" s="89">
        <v>0</v>
      </c>
      <c r="D72" s="89">
        <f t="shared" si="4"/>
        <v>0</v>
      </c>
      <c r="E72" s="134"/>
      <c r="F72" s="135"/>
      <c r="G72" s="134">
        <v>0</v>
      </c>
      <c r="H72" s="134">
        <v>0</v>
      </c>
      <c r="I72" s="134"/>
      <c r="J72" s="89"/>
      <c r="K72" s="89"/>
      <c r="L72" s="89"/>
      <c r="M72" s="89"/>
      <c r="N72" s="89"/>
      <c r="O72" s="89">
        <v>0</v>
      </c>
      <c r="P72" s="89">
        <f t="shared" si="5"/>
        <v>0</v>
      </c>
      <c r="Q72" s="89"/>
      <c r="R72" s="89">
        <f t="shared" si="11"/>
        <v>0</v>
      </c>
      <c r="S72" s="145">
        <f t="shared" si="12"/>
        <v>5</v>
      </c>
    </row>
    <row r="73" spans="1:19" ht="16.5" customHeight="1">
      <c r="A73" s="132" t="s">
        <v>454</v>
      </c>
      <c r="B73" s="133" t="s">
        <v>227</v>
      </c>
      <c r="C73" s="89">
        <v>0</v>
      </c>
      <c r="D73" s="89">
        <f t="shared" si="4"/>
        <v>25</v>
      </c>
      <c r="E73" s="134"/>
      <c r="F73" s="135"/>
      <c r="G73" s="134">
        <v>0</v>
      </c>
      <c r="H73" s="134"/>
      <c r="I73" s="134"/>
      <c r="J73" s="89">
        <v>25</v>
      </c>
      <c r="K73" s="89"/>
      <c r="L73" s="89"/>
      <c r="M73" s="89"/>
      <c r="N73" s="89"/>
      <c r="O73" s="89">
        <v>0</v>
      </c>
      <c r="P73" s="89">
        <f t="shared" si="5"/>
        <v>25</v>
      </c>
      <c r="Q73" s="89">
        <v>17</v>
      </c>
      <c r="R73" s="89">
        <f t="shared" si="11"/>
        <v>8</v>
      </c>
      <c r="S73" s="145">
        <f t="shared" si="12"/>
        <v>5</v>
      </c>
    </row>
    <row r="74" spans="1:19" ht="16.5" customHeight="1">
      <c r="A74" s="132" t="s">
        <v>455</v>
      </c>
      <c r="B74" s="133" t="s">
        <v>228</v>
      </c>
      <c r="C74" s="89">
        <v>0</v>
      </c>
      <c r="D74" s="89">
        <f t="shared" si="4"/>
        <v>0</v>
      </c>
      <c r="E74" s="134"/>
      <c r="F74" s="135"/>
      <c r="G74" s="134">
        <v>0</v>
      </c>
      <c r="H74" s="134">
        <v>0</v>
      </c>
      <c r="I74" s="134"/>
      <c r="J74" s="89"/>
      <c r="K74" s="89"/>
      <c r="L74" s="89"/>
      <c r="M74" s="89"/>
      <c r="N74" s="89"/>
      <c r="O74" s="89">
        <v>0</v>
      </c>
      <c r="P74" s="89">
        <f t="shared" si="5"/>
        <v>0</v>
      </c>
      <c r="Q74" s="89">
        <v>0</v>
      </c>
      <c r="R74" s="89">
        <f t="shared" si="11"/>
        <v>0</v>
      </c>
      <c r="S74" s="145">
        <f t="shared" si="12"/>
        <v>5</v>
      </c>
    </row>
    <row r="75" spans="1:19" s="107" customFormat="1" ht="16.5" customHeight="1">
      <c r="A75" s="127" t="s">
        <v>456</v>
      </c>
      <c r="B75" s="128" t="s">
        <v>229</v>
      </c>
      <c r="C75" s="129">
        <f>SUM(C76:C81)</f>
        <v>1874</v>
      </c>
      <c r="D75" s="129">
        <f>SUM(D76:D81)</f>
        <v>3566</v>
      </c>
      <c r="E75" s="130">
        <f aca="true" t="shared" si="13" ref="E75:Q75">SUM(E76:E81)</f>
        <v>3260</v>
      </c>
      <c r="F75" s="131">
        <f t="shared" si="13"/>
        <v>157</v>
      </c>
      <c r="G75" s="130">
        <f t="shared" si="13"/>
        <v>50</v>
      </c>
      <c r="H75" s="130">
        <f t="shared" si="13"/>
        <v>0</v>
      </c>
      <c r="I75" s="130">
        <f t="shared" si="13"/>
        <v>0</v>
      </c>
      <c r="J75" s="130">
        <f t="shared" si="13"/>
        <v>0</v>
      </c>
      <c r="K75" s="129">
        <f t="shared" si="13"/>
        <v>0</v>
      </c>
      <c r="L75" s="129">
        <f t="shared" si="13"/>
        <v>0</v>
      </c>
      <c r="M75" s="129">
        <f t="shared" si="13"/>
        <v>0</v>
      </c>
      <c r="N75" s="129">
        <f t="shared" si="13"/>
        <v>34</v>
      </c>
      <c r="O75" s="129">
        <f t="shared" si="13"/>
        <v>65</v>
      </c>
      <c r="P75" s="129">
        <f t="shared" si="13"/>
        <v>5440</v>
      </c>
      <c r="Q75" s="129">
        <f t="shared" si="13"/>
        <v>2286</v>
      </c>
      <c r="R75" s="129">
        <f t="shared" si="11"/>
        <v>3154</v>
      </c>
      <c r="S75" s="146">
        <f t="shared" si="12"/>
        <v>3</v>
      </c>
    </row>
    <row r="76" spans="1:19" ht="16.5" customHeight="1">
      <c r="A76" s="132" t="s">
        <v>457</v>
      </c>
      <c r="B76" s="133" t="s">
        <v>230</v>
      </c>
      <c r="C76" s="147">
        <v>1412</v>
      </c>
      <c r="D76" s="89">
        <f aca="true" t="shared" si="14" ref="D76:D81">SUM(E76:O76)</f>
        <v>3311</v>
      </c>
      <c r="E76" s="134">
        <v>3260</v>
      </c>
      <c r="F76" s="135">
        <v>50</v>
      </c>
      <c r="G76" s="134">
        <v>50</v>
      </c>
      <c r="H76" s="134"/>
      <c r="I76" s="134"/>
      <c r="J76" s="89">
        <v>-65</v>
      </c>
      <c r="K76" s="89"/>
      <c r="L76" s="89"/>
      <c r="M76" s="89"/>
      <c r="N76" s="89">
        <v>16</v>
      </c>
      <c r="O76" s="89">
        <v>0</v>
      </c>
      <c r="P76" s="89">
        <f aca="true" t="shared" si="15" ref="P76:P81">C76+D76</f>
        <v>4723</v>
      </c>
      <c r="Q76" s="89">
        <v>1718</v>
      </c>
      <c r="R76" s="89">
        <f t="shared" si="11"/>
        <v>3005</v>
      </c>
      <c r="S76" s="145">
        <f t="shared" si="12"/>
        <v>5</v>
      </c>
    </row>
    <row r="77" spans="1:19" ht="16.5" customHeight="1">
      <c r="A77" s="132" t="s">
        <v>458</v>
      </c>
      <c r="B77" s="133" t="s">
        <v>231</v>
      </c>
      <c r="C77" s="147">
        <v>155</v>
      </c>
      <c r="D77" s="89">
        <f t="shared" si="14"/>
        <v>118</v>
      </c>
      <c r="E77" s="134"/>
      <c r="F77" s="135">
        <v>53</v>
      </c>
      <c r="G77" s="134"/>
      <c r="H77" s="134"/>
      <c r="I77" s="134"/>
      <c r="J77" s="89"/>
      <c r="K77" s="89"/>
      <c r="L77" s="89"/>
      <c r="M77" s="89"/>
      <c r="N77" s="89"/>
      <c r="O77" s="89">
        <v>65</v>
      </c>
      <c r="P77" s="89">
        <f t="shared" si="15"/>
        <v>273</v>
      </c>
      <c r="Q77" s="89">
        <v>146</v>
      </c>
      <c r="R77" s="89">
        <f t="shared" si="11"/>
        <v>127</v>
      </c>
      <c r="S77" s="145">
        <f t="shared" si="12"/>
        <v>5</v>
      </c>
    </row>
    <row r="78" spans="1:19" ht="16.5" customHeight="1">
      <c r="A78" s="132" t="s">
        <v>459</v>
      </c>
      <c r="B78" s="133" t="s">
        <v>232</v>
      </c>
      <c r="C78" s="147">
        <v>36</v>
      </c>
      <c r="D78" s="89">
        <f t="shared" si="14"/>
        <v>4</v>
      </c>
      <c r="E78" s="134"/>
      <c r="F78" s="135"/>
      <c r="G78" s="134"/>
      <c r="H78" s="134"/>
      <c r="I78" s="134"/>
      <c r="J78" s="89"/>
      <c r="K78" s="89"/>
      <c r="L78" s="89"/>
      <c r="M78" s="89"/>
      <c r="N78" s="89">
        <v>4</v>
      </c>
      <c r="O78" s="89">
        <v>0</v>
      </c>
      <c r="P78" s="89">
        <f t="shared" si="15"/>
        <v>40</v>
      </c>
      <c r="Q78" s="89">
        <v>34</v>
      </c>
      <c r="R78" s="89">
        <f t="shared" si="11"/>
        <v>6</v>
      </c>
      <c r="S78" s="145">
        <f t="shared" si="12"/>
        <v>5</v>
      </c>
    </row>
    <row r="79" spans="1:19" ht="16.5" customHeight="1">
      <c r="A79" s="132" t="s">
        <v>460</v>
      </c>
      <c r="B79" s="262" t="s">
        <v>233</v>
      </c>
      <c r="C79" s="147">
        <v>0</v>
      </c>
      <c r="D79" s="89">
        <f t="shared" si="14"/>
        <v>50</v>
      </c>
      <c r="E79" s="134"/>
      <c r="F79" s="135"/>
      <c r="G79" s="134"/>
      <c r="H79" s="134"/>
      <c r="I79" s="134"/>
      <c r="J79" s="89">
        <v>50</v>
      </c>
      <c r="K79" s="89"/>
      <c r="L79" s="89"/>
      <c r="M79" s="89"/>
      <c r="N79" s="89"/>
      <c r="O79" s="89">
        <v>0</v>
      </c>
      <c r="P79" s="89">
        <f t="shared" si="15"/>
        <v>50</v>
      </c>
      <c r="Q79" s="89">
        <v>43</v>
      </c>
      <c r="R79" s="89">
        <f t="shared" si="11"/>
        <v>7</v>
      </c>
      <c r="S79" s="145">
        <f t="shared" si="12"/>
        <v>5</v>
      </c>
    </row>
    <row r="80" spans="1:19" ht="16.5" customHeight="1">
      <c r="A80" s="132" t="s">
        <v>461</v>
      </c>
      <c r="B80" s="262" t="s">
        <v>234</v>
      </c>
      <c r="C80" s="147">
        <v>271</v>
      </c>
      <c r="D80" s="89">
        <f t="shared" si="14"/>
        <v>79</v>
      </c>
      <c r="E80" s="134"/>
      <c r="F80" s="135">
        <v>50</v>
      </c>
      <c r="G80" s="134"/>
      <c r="H80" s="134"/>
      <c r="I80" s="134"/>
      <c r="J80" s="89">
        <v>15</v>
      </c>
      <c r="K80" s="89"/>
      <c r="L80" s="89"/>
      <c r="M80" s="89"/>
      <c r="N80" s="89">
        <v>14</v>
      </c>
      <c r="O80" s="89"/>
      <c r="P80" s="89">
        <f t="shared" si="15"/>
        <v>350</v>
      </c>
      <c r="Q80" s="89">
        <v>345</v>
      </c>
      <c r="R80" s="89">
        <f t="shared" si="11"/>
        <v>5</v>
      </c>
      <c r="S80" s="145">
        <f t="shared" si="12"/>
        <v>5</v>
      </c>
    </row>
    <row r="81" spans="1:19" ht="16.5" customHeight="1">
      <c r="A81" s="132" t="s">
        <v>462</v>
      </c>
      <c r="B81" s="133" t="s">
        <v>235</v>
      </c>
      <c r="C81" s="147">
        <v>0</v>
      </c>
      <c r="D81" s="89">
        <f t="shared" si="14"/>
        <v>4</v>
      </c>
      <c r="E81" s="134"/>
      <c r="F81" s="135">
        <v>4</v>
      </c>
      <c r="G81" s="134"/>
      <c r="H81" s="134"/>
      <c r="I81" s="134"/>
      <c r="J81" s="89"/>
      <c r="K81" s="89"/>
      <c r="L81" s="89"/>
      <c r="M81" s="89"/>
      <c r="N81" s="89"/>
      <c r="O81" s="89"/>
      <c r="P81" s="89">
        <f t="shared" si="15"/>
        <v>4</v>
      </c>
      <c r="Q81" s="89">
        <v>0</v>
      </c>
      <c r="R81" s="89">
        <f t="shared" si="11"/>
        <v>4</v>
      </c>
      <c r="S81" s="145">
        <f t="shared" si="12"/>
        <v>5</v>
      </c>
    </row>
    <row r="82" spans="1:19" s="107" customFormat="1" ht="16.5" customHeight="1">
      <c r="A82" s="127" t="s">
        <v>463</v>
      </c>
      <c r="B82" s="128" t="s">
        <v>236</v>
      </c>
      <c r="C82" s="129">
        <f>SUM(C83:C103)</f>
        <v>50539</v>
      </c>
      <c r="D82" s="129">
        <f>SUM(D83:D103)</f>
        <v>7190</v>
      </c>
      <c r="E82" s="130">
        <f aca="true" t="shared" si="16" ref="E82:Q82">SUM(E83:E103)</f>
        <v>17</v>
      </c>
      <c r="F82" s="131">
        <f t="shared" si="16"/>
        <v>2460</v>
      </c>
      <c r="G82" s="130">
        <f t="shared" si="16"/>
        <v>1</v>
      </c>
      <c r="H82" s="130">
        <f t="shared" si="16"/>
        <v>0</v>
      </c>
      <c r="I82" s="130">
        <f t="shared" si="16"/>
        <v>0</v>
      </c>
      <c r="J82" s="129">
        <f t="shared" si="16"/>
        <v>0</v>
      </c>
      <c r="K82" s="129">
        <f t="shared" si="16"/>
        <v>0</v>
      </c>
      <c r="L82" s="129">
        <f t="shared" si="16"/>
        <v>0</v>
      </c>
      <c r="M82" s="129">
        <f t="shared" si="16"/>
        <v>0</v>
      </c>
      <c r="N82" s="129">
        <f t="shared" si="16"/>
        <v>3560</v>
      </c>
      <c r="O82" s="129">
        <f t="shared" si="16"/>
        <v>1152</v>
      </c>
      <c r="P82" s="129">
        <f t="shared" si="16"/>
        <v>57729</v>
      </c>
      <c r="Q82" s="129">
        <f t="shared" si="16"/>
        <v>51810</v>
      </c>
      <c r="R82" s="129">
        <f t="shared" si="11"/>
        <v>5919</v>
      </c>
      <c r="S82" s="146">
        <f t="shared" si="12"/>
        <v>3</v>
      </c>
    </row>
    <row r="83" spans="1:19" ht="16.5" customHeight="1">
      <c r="A83" s="132" t="s">
        <v>464</v>
      </c>
      <c r="B83" s="133" t="s">
        <v>237</v>
      </c>
      <c r="C83" s="89">
        <v>3465</v>
      </c>
      <c r="D83" s="89">
        <f aca="true" t="shared" si="17" ref="D83:D103">SUM(E83:O83)</f>
        <v>175</v>
      </c>
      <c r="E83" s="134"/>
      <c r="F83" s="135">
        <v>37</v>
      </c>
      <c r="G83" s="134"/>
      <c r="H83" s="134"/>
      <c r="I83" s="134"/>
      <c r="J83" s="89"/>
      <c r="K83" s="89"/>
      <c r="L83" s="89"/>
      <c r="M83" s="89"/>
      <c r="N83" s="89">
        <v>138</v>
      </c>
      <c r="O83" s="89"/>
      <c r="P83" s="89">
        <f aca="true" t="shared" si="18" ref="P83:P103">C83+D83</f>
        <v>3640</v>
      </c>
      <c r="Q83" s="89">
        <v>3334</v>
      </c>
      <c r="R83" s="89">
        <f t="shared" si="11"/>
        <v>306</v>
      </c>
      <c r="S83" s="145">
        <f t="shared" si="12"/>
        <v>5</v>
      </c>
    </row>
    <row r="84" spans="1:19" ht="16.5" customHeight="1">
      <c r="A84" s="132" t="s">
        <v>465</v>
      </c>
      <c r="B84" s="133" t="s">
        <v>238</v>
      </c>
      <c r="C84" s="89">
        <v>410</v>
      </c>
      <c r="D84" s="89">
        <f t="shared" si="17"/>
        <v>247</v>
      </c>
      <c r="E84" s="134"/>
      <c r="F84" s="135">
        <v>1</v>
      </c>
      <c r="G84" s="134"/>
      <c r="H84" s="134"/>
      <c r="I84" s="134"/>
      <c r="J84" s="89">
        <v>200</v>
      </c>
      <c r="K84" s="89"/>
      <c r="L84" s="89"/>
      <c r="M84" s="89"/>
      <c r="N84" s="89">
        <v>46</v>
      </c>
      <c r="O84" s="89"/>
      <c r="P84" s="89">
        <f t="shared" si="18"/>
        <v>657</v>
      </c>
      <c r="Q84" s="89">
        <v>629</v>
      </c>
      <c r="R84" s="89">
        <f t="shared" si="11"/>
        <v>28</v>
      </c>
      <c r="S84" s="145">
        <f t="shared" si="12"/>
        <v>5</v>
      </c>
    </row>
    <row r="85" spans="1:19" ht="17.25" customHeight="1">
      <c r="A85" s="132" t="s">
        <v>466</v>
      </c>
      <c r="B85" s="133" t="s">
        <v>239</v>
      </c>
      <c r="C85" s="89">
        <v>0</v>
      </c>
      <c r="D85" s="89">
        <f t="shared" si="17"/>
        <v>0</v>
      </c>
      <c r="E85" s="134"/>
      <c r="F85" s="135"/>
      <c r="G85" s="134"/>
      <c r="H85" s="134"/>
      <c r="I85" s="134"/>
      <c r="J85" s="89"/>
      <c r="K85" s="89"/>
      <c r="L85" s="89"/>
      <c r="M85" s="89"/>
      <c r="N85" s="89"/>
      <c r="O85" s="89"/>
      <c r="P85" s="89">
        <f t="shared" si="18"/>
        <v>0</v>
      </c>
      <c r="Q85" s="89">
        <v>0</v>
      </c>
      <c r="R85" s="89">
        <f t="shared" si="11"/>
        <v>0</v>
      </c>
      <c r="S85" s="145">
        <f t="shared" si="12"/>
        <v>5</v>
      </c>
    </row>
    <row r="86" spans="1:19" ht="17.25" customHeight="1">
      <c r="A86" s="132" t="s">
        <v>467</v>
      </c>
      <c r="B86" s="133" t="s">
        <v>240</v>
      </c>
      <c r="C86" s="89">
        <v>12026</v>
      </c>
      <c r="D86" s="89">
        <f t="shared" si="17"/>
        <v>7918</v>
      </c>
      <c r="E86" s="134"/>
      <c r="F86" s="135">
        <v>178</v>
      </c>
      <c r="G86" s="134"/>
      <c r="H86" s="134"/>
      <c r="I86" s="134"/>
      <c r="J86" s="89">
        <v>6940</v>
      </c>
      <c r="K86" s="89"/>
      <c r="L86" s="89"/>
      <c r="M86" s="89"/>
      <c r="N86" s="89">
        <v>800</v>
      </c>
      <c r="O86" s="89"/>
      <c r="P86" s="89">
        <f t="shared" si="18"/>
        <v>19944</v>
      </c>
      <c r="Q86" s="89">
        <v>19944</v>
      </c>
      <c r="R86" s="89">
        <f t="shared" si="11"/>
        <v>0</v>
      </c>
      <c r="S86" s="145">
        <f t="shared" si="12"/>
        <v>5</v>
      </c>
    </row>
    <row r="87" spans="1:19" ht="17.25" customHeight="1">
      <c r="A87" s="132" t="s">
        <v>468</v>
      </c>
      <c r="B87" s="133" t="s">
        <v>241</v>
      </c>
      <c r="C87" s="89">
        <v>0</v>
      </c>
      <c r="D87" s="89">
        <f t="shared" si="17"/>
        <v>0</v>
      </c>
      <c r="E87" s="134"/>
      <c r="F87" s="135"/>
      <c r="G87" s="134"/>
      <c r="H87" s="134"/>
      <c r="I87" s="134"/>
      <c r="J87" s="89"/>
      <c r="K87" s="89"/>
      <c r="L87" s="89"/>
      <c r="M87" s="89"/>
      <c r="N87" s="89"/>
      <c r="O87" s="89"/>
      <c r="P87" s="89">
        <f t="shared" si="18"/>
        <v>0</v>
      </c>
      <c r="Q87" s="89">
        <v>0</v>
      </c>
      <c r="R87" s="89">
        <f t="shared" si="11"/>
        <v>0</v>
      </c>
      <c r="S87" s="145">
        <f t="shared" si="12"/>
        <v>5</v>
      </c>
    </row>
    <row r="88" spans="1:19" ht="17.25" customHeight="1">
      <c r="A88" s="132" t="s">
        <v>469</v>
      </c>
      <c r="B88" s="133" t="s">
        <v>242</v>
      </c>
      <c r="C88" s="89">
        <v>1265</v>
      </c>
      <c r="D88" s="89">
        <f t="shared" si="17"/>
        <v>343</v>
      </c>
      <c r="E88" s="134">
        <v>17</v>
      </c>
      <c r="F88" s="135">
        <v>326</v>
      </c>
      <c r="G88" s="134"/>
      <c r="H88" s="134"/>
      <c r="I88" s="134"/>
      <c r="J88" s="89"/>
      <c r="K88" s="89"/>
      <c r="L88" s="89"/>
      <c r="M88" s="89"/>
      <c r="N88" s="89"/>
      <c r="O88" s="89"/>
      <c r="P88" s="89">
        <f t="shared" si="18"/>
        <v>1608</v>
      </c>
      <c r="Q88" s="89">
        <v>1277</v>
      </c>
      <c r="R88" s="89">
        <f t="shared" si="11"/>
        <v>331</v>
      </c>
      <c r="S88" s="145">
        <f t="shared" si="12"/>
        <v>5</v>
      </c>
    </row>
    <row r="89" spans="1:19" ht="17.25" customHeight="1">
      <c r="A89" s="132" t="s">
        <v>470</v>
      </c>
      <c r="B89" s="133" t="s">
        <v>243</v>
      </c>
      <c r="C89" s="89">
        <v>1533</v>
      </c>
      <c r="D89" s="89">
        <f t="shared" si="17"/>
        <v>513</v>
      </c>
      <c r="E89" s="134"/>
      <c r="F89" s="135">
        <v>366</v>
      </c>
      <c r="G89" s="134"/>
      <c r="H89" s="134"/>
      <c r="I89" s="134"/>
      <c r="J89" s="89">
        <v>-1000</v>
      </c>
      <c r="K89" s="89"/>
      <c r="L89" s="89"/>
      <c r="M89" s="89"/>
      <c r="N89" s="89">
        <v>91</v>
      </c>
      <c r="O89" s="89">
        <v>1056</v>
      </c>
      <c r="P89" s="89">
        <f t="shared" si="18"/>
        <v>2046</v>
      </c>
      <c r="Q89" s="89">
        <v>1911</v>
      </c>
      <c r="R89" s="89">
        <f t="shared" si="11"/>
        <v>135</v>
      </c>
      <c r="S89" s="145">
        <f t="shared" si="12"/>
        <v>5</v>
      </c>
    </row>
    <row r="90" spans="1:19" ht="16.5" customHeight="1">
      <c r="A90" s="132" t="s">
        <v>471</v>
      </c>
      <c r="B90" s="133" t="s">
        <v>244</v>
      </c>
      <c r="C90" s="89">
        <v>111</v>
      </c>
      <c r="D90" s="89">
        <f t="shared" si="17"/>
        <v>114</v>
      </c>
      <c r="E90" s="134"/>
      <c r="F90" s="135">
        <v>76</v>
      </c>
      <c r="G90" s="134"/>
      <c r="H90" s="134"/>
      <c r="I90" s="134"/>
      <c r="J90" s="89"/>
      <c r="K90" s="89"/>
      <c r="L90" s="89"/>
      <c r="M90" s="89"/>
      <c r="N90" s="89">
        <v>38</v>
      </c>
      <c r="O90" s="89"/>
      <c r="P90" s="89">
        <f t="shared" si="18"/>
        <v>225</v>
      </c>
      <c r="Q90" s="89">
        <v>158</v>
      </c>
      <c r="R90" s="89">
        <f t="shared" si="11"/>
        <v>67</v>
      </c>
      <c r="S90" s="145">
        <f t="shared" si="12"/>
        <v>5</v>
      </c>
    </row>
    <row r="91" spans="1:19" ht="16.5" customHeight="1">
      <c r="A91" s="132" t="s">
        <v>472</v>
      </c>
      <c r="B91" s="133" t="s">
        <v>245</v>
      </c>
      <c r="C91" s="89">
        <v>782</v>
      </c>
      <c r="D91" s="89">
        <f t="shared" si="17"/>
        <v>535</v>
      </c>
      <c r="E91" s="134"/>
      <c r="F91" s="135"/>
      <c r="G91" s="134"/>
      <c r="H91" s="134"/>
      <c r="I91" s="134"/>
      <c r="J91" s="89"/>
      <c r="K91" s="89"/>
      <c r="L91" s="89"/>
      <c r="M91" s="89"/>
      <c r="N91" s="89">
        <v>535</v>
      </c>
      <c r="O91" s="89"/>
      <c r="P91" s="89">
        <f t="shared" si="18"/>
        <v>1317</v>
      </c>
      <c r="Q91" s="89">
        <v>691</v>
      </c>
      <c r="R91" s="89">
        <f t="shared" si="11"/>
        <v>626</v>
      </c>
      <c r="S91" s="145">
        <f t="shared" si="12"/>
        <v>5</v>
      </c>
    </row>
    <row r="92" spans="1:19" ht="16.5" customHeight="1">
      <c r="A92" s="132" t="s">
        <v>473</v>
      </c>
      <c r="B92" s="133" t="s">
        <v>246</v>
      </c>
      <c r="C92" s="89">
        <v>562</v>
      </c>
      <c r="D92" s="89">
        <f t="shared" si="17"/>
        <v>508</v>
      </c>
      <c r="E92" s="134"/>
      <c r="F92" s="135">
        <v>3</v>
      </c>
      <c r="G92" s="134"/>
      <c r="H92" s="134"/>
      <c r="I92" s="134"/>
      <c r="J92" s="89">
        <v>505</v>
      </c>
      <c r="K92" s="89"/>
      <c r="L92" s="89"/>
      <c r="M92" s="89"/>
      <c r="N92" s="89"/>
      <c r="O92" s="89"/>
      <c r="P92" s="89">
        <f t="shared" si="18"/>
        <v>1070</v>
      </c>
      <c r="Q92" s="89">
        <v>1068</v>
      </c>
      <c r="R92" s="89">
        <f t="shared" si="11"/>
        <v>2</v>
      </c>
      <c r="S92" s="145">
        <f t="shared" si="12"/>
        <v>5</v>
      </c>
    </row>
    <row r="93" spans="1:19" ht="16.5" customHeight="1">
      <c r="A93" s="132" t="s">
        <v>474</v>
      </c>
      <c r="B93" s="133" t="s">
        <v>247</v>
      </c>
      <c r="C93" s="89">
        <v>52</v>
      </c>
      <c r="D93" s="89">
        <f t="shared" si="17"/>
        <v>13</v>
      </c>
      <c r="E93" s="134"/>
      <c r="F93" s="135"/>
      <c r="G93" s="134"/>
      <c r="H93" s="134"/>
      <c r="I93" s="134"/>
      <c r="J93" s="89"/>
      <c r="K93" s="89"/>
      <c r="L93" s="89"/>
      <c r="M93" s="89"/>
      <c r="N93" s="89">
        <v>13</v>
      </c>
      <c r="O93" s="89"/>
      <c r="P93" s="89">
        <f t="shared" si="18"/>
        <v>65</v>
      </c>
      <c r="Q93" s="89">
        <v>62</v>
      </c>
      <c r="R93" s="89">
        <f t="shared" si="11"/>
        <v>3</v>
      </c>
      <c r="S93" s="145">
        <f t="shared" si="12"/>
        <v>5</v>
      </c>
    </row>
    <row r="94" spans="1:19" ht="16.5" customHeight="1">
      <c r="A94" s="132" t="s">
        <v>475</v>
      </c>
      <c r="B94" s="262" t="s">
        <v>248</v>
      </c>
      <c r="C94" s="89">
        <v>14330</v>
      </c>
      <c r="D94" s="89">
        <f t="shared" si="17"/>
        <v>-3000</v>
      </c>
      <c r="E94" s="134"/>
      <c r="F94" s="135"/>
      <c r="G94" s="134"/>
      <c r="H94" s="134"/>
      <c r="I94" s="134"/>
      <c r="J94" s="89">
        <v>-3000</v>
      </c>
      <c r="K94" s="89"/>
      <c r="L94" s="89"/>
      <c r="M94" s="89"/>
      <c r="N94" s="89"/>
      <c r="O94" s="89"/>
      <c r="P94" s="89">
        <f t="shared" si="18"/>
        <v>11330</v>
      </c>
      <c r="Q94" s="89">
        <v>10310</v>
      </c>
      <c r="R94" s="89">
        <f t="shared" si="11"/>
        <v>1020</v>
      </c>
      <c r="S94" s="145">
        <f t="shared" si="12"/>
        <v>5</v>
      </c>
    </row>
    <row r="95" spans="1:19" ht="16.5" customHeight="1">
      <c r="A95" s="132" t="s">
        <v>476</v>
      </c>
      <c r="B95" s="262" t="s">
        <v>249</v>
      </c>
      <c r="C95" s="89">
        <v>2500</v>
      </c>
      <c r="D95" s="89">
        <f t="shared" si="17"/>
        <v>-939</v>
      </c>
      <c r="E95" s="134"/>
      <c r="F95" s="135">
        <v>1061</v>
      </c>
      <c r="G95" s="134"/>
      <c r="H95" s="134"/>
      <c r="I95" s="134"/>
      <c r="J95" s="89">
        <v>-2000</v>
      </c>
      <c r="K95" s="89"/>
      <c r="L95" s="89"/>
      <c r="M95" s="89"/>
      <c r="N95" s="89"/>
      <c r="O95" s="89"/>
      <c r="P95" s="89">
        <f t="shared" si="18"/>
        <v>1561</v>
      </c>
      <c r="Q95" s="89">
        <v>151</v>
      </c>
      <c r="R95" s="89">
        <f t="shared" si="11"/>
        <v>1410</v>
      </c>
      <c r="S95" s="145">
        <f t="shared" si="12"/>
        <v>5</v>
      </c>
    </row>
    <row r="96" spans="1:19" ht="16.5" customHeight="1">
      <c r="A96" s="132" t="s">
        <v>477</v>
      </c>
      <c r="B96" s="262" t="s">
        <v>250</v>
      </c>
      <c r="C96" s="89">
        <v>576</v>
      </c>
      <c r="D96" s="89">
        <f t="shared" si="17"/>
        <v>905</v>
      </c>
      <c r="E96" s="134"/>
      <c r="F96" s="135"/>
      <c r="G96" s="134"/>
      <c r="H96" s="134"/>
      <c r="I96" s="134"/>
      <c r="J96" s="89">
        <v>800</v>
      </c>
      <c r="K96" s="89"/>
      <c r="L96" s="89"/>
      <c r="M96" s="89"/>
      <c r="N96" s="89"/>
      <c r="O96" s="89">
        <v>105</v>
      </c>
      <c r="P96" s="89">
        <f t="shared" si="18"/>
        <v>1481</v>
      </c>
      <c r="Q96" s="89">
        <v>1356</v>
      </c>
      <c r="R96" s="89">
        <f t="shared" si="11"/>
        <v>125</v>
      </c>
      <c r="S96" s="145">
        <f t="shared" si="12"/>
        <v>5</v>
      </c>
    </row>
    <row r="97" spans="1:19" ht="16.5" customHeight="1">
      <c r="A97" s="132" t="s">
        <v>478</v>
      </c>
      <c r="B97" s="262" t="s">
        <v>251</v>
      </c>
      <c r="C97" s="89">
        <v>0</v>
      </c>
      <c r="D97" s="89">
        <f t="shared" si="17"/>
        <v>0</v>
      </c>
      <c r="E97" s="134"/>
      <c r="F97" s="135"/>
      <c r="G97" s="134"/>
      <c r="H97" s="134"/>
      <c r="I97" s="134"/>
      <c r="J97" s="89"/>
      <c r="K97" s="89"/>
      <c r="L97" s="89"/>
      <c r="M97" s="89"/>
      <c r="N97" s="89"/>
      <c r="O97" s="89"/>
      <c r="P97" s="89">
        <f t="shared" si="18"/>
        <v>0</v>
      </c>
      <c r="Q97" s="89">
        <v>0</v>
      </c>
      <c r="R97" s="89">
        <f t="shared" si="11"/>
        <v>0</v>
      </c>
      <c r="S97" s="145">
        <f t="shared" si="12"/>
        <v>5</v>
      </c>
    </row>
    <row r="98" spans="1:19" ht="16.5" customHeight="1">
      <c r="A98" s="132" t="s">
        <v>479</v>
      </c>
      <c r="B98" s="133" t="s">
        <v>252</v>
      </c>
      <c r="C98" s="89">
        <v>10</v>
      </c>
      <c r="D98" s="89">
        <f t="shared" si="17"/>
        <v>8</v>
      </c>
      <c r="E98" s="134"/>
      <c r="F98" s="135"/>
      <c r="G98" s="134">
        <v>1</v>
      </c>
      <c r="H98" s="134"/>
      <c r="I98" s="134"/>
      <c r="J98" s="89"/>
      <c r="K98" s="89"/>
      <c r="L98" s="89"/>
      <c r="M98" s="89"/>
      <c r="N98" s="89">
        <v>7</v>
      </c>
      <c r="O98" s="89"/>
      <c r="P98" s="89">
        <f t="shared" si="18"/>
        <v>18</v>
      </c>
      <c r="Q98" s="89">
        <v>8</v>
      </c>
      <c r="R98" s="89">
        <f t="shared" si="11"/>
        <v>10</v>
      </c>
      <c r="S98" s="145">
        <f t="shared" si="12"/>
        <v>5</v>
      </c>
    </row>
    <row r="99" spans="1:19" ht="16.5" customHeight="1">
      <c r="A99" s="132" t="s">
        <v>480</v>
      </c>
      <c r="B99" s="262" t="s">
        <v>253</v>
      </c>
      <c r="C99" s="89">
        <v>10352</v>
      </c>
      <c r="D99" s="89">
        <f t="shared" si="17"/>
        <v>-929</v>
      </c>
      <c r="E99" s="134"/>
      <c r="F99" s="135">
        <v>280</v>
      </c>
      <c r="G99" s="134"/>
      <c r="H99" s="134"/>
      <c r="I99" s="134"/>
      <c r="J99" s="89">
        <v>-1200</v>
      </c>
      <c r="K99" s="89"/>
      <c r="L99" s="89"/>
      <c r="M99" s="89"/>
      <c r="N99" s="89"/>
      <c r="O99" s="89">
        <v>-9</v>
      </c>
      <c r="P99" s="89">
        <f t="shared" si="18"/>
        <v>9423</v>
      </c>
      <c r="Q99" s="89">
        <v>7921</v>
      </c>
      <c r="R99" s="89">
        <f t="shared" si="11"/>
        <v>1502</v>
      </c>
      <c r="S99" s="145">
        <f t="shared" si="12"/>
        <v>5</v>
      </c>
    </row>
    <row r="100" spans="1:19" ht="16.5" customHeight="1">
      <c r="A100" s="132" t="s">
        <v>481</v>
      </c>
      <c r="B100" s="262" t="s">
        <v>254</v>
      </c>
      <c r="C100" s="89">
        <v>0</v>
      </c>
      <c r="D100" s="89">
        <f t="shared" si="17"/>
        <v>0</v>
      </c>
      <c r="E100" s="134"/>
      <c r="F100" s="135"/>
      <c r="G100" s="134"/>
      <c r="H100" s="134"/>
      <c r="I100" s="134"/>
      <c r="J100" s="89"/>
      <c r="K100" s="89"/>
      <c r="L100" s="89"/>
      <c r="M100" s="89"/>
      <c r="N100" s="89"/>
      <c r="O100" s="89"/>
      <c r="P100" s="89">
        <f t="shared" si="18"/>
        <v>0</v>
      </c>
      <c r="Q100" s="89">
        <v>0</v>
      </c>
      <c r="R100" s="89">
        <f t="shared" si="11"/>
        <v>0</v>
      </c>
      <c r="S100" s="145">
        <f t="shared" si="12"/>
        <v>5</v>
      </c>
    </row>
    <row r="101" spans="1:19" ht="16.5" customHeight="1">
      <c r="A101" s="132" t="s">
        <v>482</v>
      </c>
      <c r="B101" s="262" t="s">
        <v>255</v>
      </c>
      <c r="C101" s="89">
        <v>458</v>
      </c>
      <c r="D101" s="89">
        <f t="shared" si="17"/>
        <v>24</v>
      </c>
      <c r="E101" s="134"/>
      <c r="F101" s="135"/>
      <c r="G101" s="134"/>
      <c r="H101" s="134"/>
      <c r="I101" s="134"/>
      <c r="J101" s="89"/>
      <c r="K101" s="89"/>
      <c r="L101" s="89"/>
      <c r="M101" s="89"/>
      <c r="N101" s="89">
        <v>24</v>
      </c>
      <c r="O101" s="89"/>
      <c r="P101" s="89">
        <f t="shared" si="18"/>
        <v>482</v>
      </c>
      <c r="Q101" s="89">
        <v>463</v>
      </c>
      <c r="R101" s="89">
        <f t="shared" si="11"/>
        <v>19</v>
      </c>
      <c r="S101" s="145">
        <f t="shared" si="12"/>
        <v>5</v>
      </c>
    </row>
    <row r="102" spans="1:19" ht="16.5" customHeight="1">
      <c r="A102" s="263" t="s">
        <v>483</v>
      </c>
      <c r="B102" s="262" t="s">
        <v>484</v>
      </c>
      <c r="C102" s="89">
        <v>2010</v>
      </c>
      <c r="D102" s="89">
        <f t="shared" si="17"/>
        <v>452</v>
      </c>
      <c r="E102" s="134"/>
      <c r="F102" s="135">
        <v>132</v>
      </c>
      <c r="G102" s="134"/>
      <c r="H102" s="134"/>
      <c r="I102" s="134"/>
      <c r="J102" s="89">
        <v>-1545</v>
      </c>
      <c r="K102" s="89"/>
      <c r="L102" s="89"/>
      <c r="M102" s="89"/>
      <c r="N102" s="89">
        <v>1865</v>
      </c>
      <c r="O102" s="89"/>
      <c r="P102" s="89">
        <f t="shared" si="18"/>
        <v>2462</v>
      </c>
      <c r="Q102" s="89">
        <v>2152</v>
      </c>
      <c r="R102" s="89">
        <f t="shared" si="11"/>
        <v>310</v>
      </c>
      <c r="S102" s="145">
        <v>5</v>
      </c>
    </row>
    <row r="103" spans="1:19" ht="16.5" customHeight="1">
      <c r="A103" s="132" t="s">
        <v>485</v>
      </c>
      <c r="B103" s="133" t="s">
        <v>257</v>
      </c>
      <c r="C103" s="89">
        <v>97</v>
      </c>
      <c r="D103" s="89">
        <f t="shared" si="17"/>
        <v>303</v>
      </c>
      <c r="E103" s="134"/>
      <c r="F103" s="135"/>
      <c r="G103" s="134"/>
      <c r="H103" s="134"/>
      <c r="I103" s="134"/>
      <c r="J103" s="89">
        <v>300</v>
      </c>
      <c r="K103" s="89"/>
      <c r="L103" s="89"/>
      <c r="M103" s="89"/>
      <c r="N103" s="89">
        <v>3</v>
      </c>
      <c r="O103" s="89">
        <v>0</v>
      </c>
      <c r="P103" s="89">
        <f t="shared" si="18"/>
        <v>400</v>
      </c>
      <c r="Q103" s="89">
        <v>375</v>
      </c>
      <c r="R103" s="89">
        <f t="shared" si="11"/>
        <v>25</v>
      </c>
      <c r="S103" s="145">
        <f t="shared" si="12"/>
        <v>5</v>
      </c>
    </row>
    <row r="104" spans="1:19" s="107" customFormat="1" ht="16.5" customHeight="1">
      <c r="A104" s="127" t="s">
        <v>486</v>
      </c>
      <c r="B104" s="128" t="s">
        <v>258</v>
      </c>
      <c r="C104" s="129">
        <f>SUM(C105:C117)</f>
        <v>19363</v>
      </c>
      <c r="D104" s="129">
        <f>SUM(D105:D117)</f>
        <v>10143</v>
      </c>
      <c r="E104" s="130">
        <f aca="true" t="shared" si="19" ref="E104:Q104">SUM(E105:E117)</f>
        <v>1294</v>
      </c>
      <c r="F104" s="131">
        <f t="shared" si="19"/>
        <v>7027</v>
      </c>
      <c r="G104" s="130">
        <f t="shared" si="19"/>
        <v>20</v>
      </c>
      <c r="H104" s="130">
        <f t="shared" si="19"/>
        <v>0</v>
      </c>
      <c r="I104" s="130">
        <f t="shared" si="19"/>
        <v>0</v>
      </c>
      <c r="J104" s="129">
        <f t="shared" si="19"/>
        <v>0</v>
      </c>
      <c r="K104" s="129">
        <f t="shared" si="19"/>
        <v>0</v>
      </c>
      <c r="L104" s="129">
        <f t="shared" si="19"/>
        <v>100</v>
      </c>
      <c r="M104" s="129">
        <f t="shared" si="19"/>
        <v>0</v>
      </c>
      <c r="N104" s="129">
        <f t="shared" si="19"/>
        <v>1623</v>
      </c>
      <c r="O104" s="129">
        <f t="shared" si="19"/>
        <v>79</v>
      </c>
      <c r="P104" s="129">
        <f t="shared" si="19"/>
        <v>29506</v>
      </c>
      <c r="Q104" s="129">
        <f t="shared" si="19"/>
        <v>21107</v>
      </c>
      <c r="R104" s="129">
        <f t="shared" si="11"/>
        <v>8399</v>
      </c>
      <c r="S104" s="146">
        <f t="shared" si="12"/>
        <v>3</v>
      </c>
    </row>
    <row r="105" spans="1:19" ht="16.5" customHeight="1">
      <c r="A105" s="132" t="s">
        <v>487</v>
      </c>
      <c r="B105" s="133" t="s">
        <v>259</v>
      </c>
      <c r="C105" s="89">
        <v>518</v>
      </c>
      <c r="D105" s="89">
        <f aca="true" t="shared" si="20" ref="D105:D117">SUM(E105:O105)</f>
        <v>50</v>
      </c>
      <c r="E105" s="134"/>
      <c r="F105" s="135"/>
      <c r="G105" s="134"/>
      <c r="H105" s="134"/>
      <c r="I105" s="134"/>
      <c r="J105" s="89">
        <v>50</v>
      </c>
      <c r="K105" s="89"/>
      <c r="L105" s="89"/>
      <c r="M105" s="89"/>
      <c r="N105" s="89"/>
      <c r="O105" s="89"/>
      <c r="P105" s="89">
        <f aca="true" t="shared" si="21" ref="P105:P117">C105+D105</f>
        <v>568</v>
      </c>
      <c r="Q105" s="89">
        <v>561</v>
      </c>
      <c r="R105" s="89">
        <f t="shared" si="11"/>
        <v>7</v>
      </c>
      <c r="S105" s="145">
        <f t="shared" si="12"/>
        <v>5</v>
      </c>
    </row>
    <row r="106" spans="1:19" ht="16.5" customHeight="1">
      <c r="A106" s="132" t="s">
        <v>488</v>
      </c>
      <c r="B106" s="133" t="s">
        <v>260</v>
      </c>
      <c r="C106" s="89">
        <v>2941</v>
      </c>
      <c r="D106" s="89">
        <f t="shared" si="20"/>
        <v>1039</v>
      </c>
      <c r="E106" s="134">
        <v>1000</v>
      </c>
      <c r="F106" s="135">
        <v>28</v>
      </c>
      <c r="G106" s="134"/>
      <c r="H106" s="134"/>
      <c r="I106" s="134"/>
      <c r="J106" s="89"/>
      <c r="K106" s="89"/>
      <c r="L106" s="89"/>
      <c r="M106" s="89"/>
      <c r="N106" s="89"/>
      <c r="O106" s="89">
        <v>11</v>
      </c>
      <c r="P106" s="89">
        <f t="shared" si="21"/>
        <v>3980</v>
      </c>
      <c r="Q106" s="89">
        <v>2512</v>
      </c>
      <c r="R106" s="89">
        <f t="shared" si="11"/>
        <v>1468</v>
      </c>
      <c r="S106" s="145">
        <f t="shared" si="12"/>
        <v>5</v>
      </c>
    </row>
    <row r="107" spans="1:19" ht="16.5" customHeight="1">
      <c r="A107" s="132" t="s">
        <v>489</v>
      </c>
      <c r="B107" s="133" t="s">
        <v>261</v>
      </c>
      <c r="C107" s="89">
        <v>3165</v>
      </c>
      <c r="D107" s="89">
        <f t="shared" si="20"/>
        <v>1195</v>
      </c>
      <c r="E107" s="134"/>
      <c r="F107" s="135">
        <v>1103</v>
      </c>
      <c r="G107" s="134"/>
      <c r="H107" s="134"/>
      <c r="I107" s="134"/>
      <c r="J107" s="89"/>
      <c r="K107" s="89"/>
      <c r="L107" s="89"/>
      <c r="M107" s="89"/>
      <c r="N107" s="89">
        <v>35</v>
      </c>
      <c r="O107" s="89">
        <v>57</v>
      </c>
      <c r="P107" s="89">
        <f t="shared" si="21"/>
        <v>4360</v>
      </c>
      <c r="Q107" s="89">
        <v>2858</v>
      </c>
      <c r="R107" s="89">
        <f t="shared" si="11"/>
        <v>1502</v>
      </c>
      <c r="S107" s="145">
        <f t="shared" si="12"/>
        <v>5</v>
      </c>
    </row>
    <row r="108" spans="1:19" ht="16.5" customHeight="1">
      <c r="A108" s="132" t="s">
        <v>490</v>
      </c>
      <c r="B108" s="133" t="s">
        <v>262</v>
      </c>
      <c r="C108" s="89">
        <v>1546</v>
      </c>
      <c r="D108" s="89">
        <f t="shared" si="20"/>
        <v>5796</v>
      </c>
      <c r="E108" s="134">
        <v>294</v>
      </c>
      <c r="F108" s="135">
        <f>5892-644</f>
        <v>5248</v>
      </c>
      <c r="G108" s="134">
        <v>20</v>
      </c>
      <c r="H108" s="134"/>
      <c r="I108" s="134"/>
      <c r="J108" s="89">
        <v>50</v>
      </c>
      <c r="K108" s="89"/>
      <c r="L108" s="89"/>
      <c r="M108" s="89"/>
      <c r="N108" s="89">
        <v>184</v>
      </c>
      <c r="O108" s="89"/>
      <c r="P108" s="89">
        <f t="shared" si="21"/>
        <v>7342</v>
      </c>
      <c r="Q108" s="89">
        <v>7328</v>
      </c>
      <c r="R108" s="89">
        <f t="shared" si="11"/>
        <v>14</v>
      </c>
      <c r="S108" s="145">
        <f t="shared" si="12"/>
        <v>5</v>
      </c>
    </row>
    <row r="109" spans="1:19" ht="16.5" customHeight="1">
      <c r="A109" s="132" t="s">
        <v>491</v>
      </c>
      <c r="B109" s="133" t="s">
        <v>263</v>
      </c>
      <c r="C109" s="89">
        <v>148</v>
      </c>
      <c r="D109" s="89">
        <f t="shared" si="20"/>
        <v>133</v>
      </c>
      <c r="E109" s="134"/>
      <c r="F109" s="135">
        <v>133</v>
      </c>
      <c r="G109" s="134"/>
      <c r="H109" s="134"/>
      <c r="I109" s="134"/>
      <c r="J109" s="89"/>
      <c r="K109" s="89"/>
      <c r="L109" s="89"/>
      <c r="M109" s="89"/>
      <c r="N109" s="89"/>
      <c r="O109" s="89"/>
      <c r="P109" s="89">
        <f t="shared" si="21"/>
        <v>281</v>
      </c>
      <c r="Q109" s="89">
        <v>69</v>
      </c>
      <c r="R109" s="89">
        <f t="shared" si="11"/>
        <v>212</v>
      </c>
      <c r="S109" s="145">
        <f t="shared" si="12"/>
        <v>5</v>
      </c>
    </row>
    <row r="110" spans="1:19" ht="16.5" customHeight="1">
      <c r="A110" s="132" t="s">
        <v>492</v>
      </c>
      <c r="B110" s="133" t="s">
        <v>264</v>
      </c>
      <c r="C110" s="89">
        <v>3055</v>
      </c>
      <c r="D110" s="89">
        <f t="shared" si="20"/>
        <v>908</v>
      </c>
      <c r="E110" s="134"/>
      <c r="F110" s="135">
        <v>139</v>
      </c>
      <c r="G110" s="134"/>
      <c r="H110" s="134"/>
      <c r="I110" s="134"/>
      <c r="J110" s="89"/>
      <c r="K110" s="89"/>
      <c r="L110" s="89"/>
      <c r="M110" s="89"/>
      <c r="N110" s="89">
        <v>769</v>
      </c>
      <c r="O110" s="89"/>
      <c r="P110" s="89">
        <f t="shared" si="21"/>
        <v>3963</v>
      </c>
      <c r="Q110" s="89">
        <v>1502</v>
      </c>
      <c r="R110" s="89">
        <f t="shared" si="11"/>
        <v>2461</v>
      </c>
      <c r="S110" s="145">
        <f t="shared" si="12"/>
        <v>5</v>
      </c>
    </row>
    <row r="111" spans="1:19" ht="16.5" customHeight="1">
      <c r="A111" s="132" t="s">
        <v>493</v>
      </c>
      <c r="B111" s="133" t="s">
        <v>265</v>
      </c>
      <c r="C111" s="89">
        <v>2788</v>
      </c>
      <c r="D111" s="89">
        <f t="shared" si="20"/>
        <v>0</v>
      </c>
      <c r="E111" s="134"/>
      <c r="F111" s="135"/>
      <c r="G111" s="134"/>
      <c r="H111" s="134"/>
      <c r="I111" s="134"/>
      <c r="J111" s="89"/>
      <c r="K111" s="89"/>
      <c r="L111" s="89"/>
      <c r="M111" s="89"/>
      <c r="N111" s="89"/>
      <c r="O111" s="89"/>
      <c r="P111" s="89">
        <f t="shared" si="21"/>
        <v>2788</v>
      </c>
      <c r="Q111" s="89">
        <v>2645</v>
      </c>
      <c r="R111" s="89">
        <f t="shared" si="11"/>
        <v>143</v>
      </c>
      <c r="S111" s="145">
        <f t="shared" si="12"/>
        <v>5</v>
      </c>
    </row>
    <row r="112" spans="1:19" ht="17.25" customHeight="1">
      <c r="A112" s="132" t="s">
        <v>494</v>
      </c>
      <c r="B112" s="262" t="s">
        <v>266</v>
      </c>
      <c r="C112" s="89">
        <v>1022</v>
      </c>
      <c r="D112" s="89">
        <f t="shared" si="20"/>
        <v>536</v>
      </c>
      <c r="E112" s="134"/>
      <c r="F112" s="135"/>
      <c r="G112" s="134"/>
      <c r="H112" s="134"/>
      <c r="I112" s="134"/>
      <c r="J112" s="89"/>
      <c r="K112" s="89"/>
      <c r="L112" s="89"/>
      <c r="M112" s="89"/>
      <c r="N112" s="89">
        <v>536</v>
      </c>
      <c r="O112" s="89"/>
      <c r="P112" s="89">
        <f t="shared" si="21"/>
        <v>1558</v>
      </c>
      <c r="Q112" s="89">
        <v>1031</v>
      </c>
      <c r="R112" s="89">
        <f t="shared" si="11"/>
        <v>527</v>
      </c>
      <c r="S112" s="145">
        <f t="shared" si="12"/>
        <v>5</v>
      </c>
    </row>
    <row r="113" spans="1:19" ht="17.25" customHeight="1">
      <c r="A113" s="132" t="s">
        <v>495</v>
      </c>
      <c r="B113" s="262" t="s">
        <v>267</v>
      </c>
      <c r="C113" s="89">
        <v>2060</v>
      </c>
      <c r="D113" s="89">
        <f t="shared" si="20"/>
        <v>301</v>
      </c>
      <c r="E113" s="134"/>
      <c r="F113" s="135">
        <v>301</v>
      </c>
      <c r="G113" s="134"/>
      <c r="H113" s="134"/>
      <c r="I113" s="134"/>
      <c r="J113" s="89"/>
      <c r="K113" s="89"/>
      <c r="L113" s="89"/>
      <c r="M113" s="89"/>
      <c r="N113" s="89"/>
      <c r="O113" s="89"/>
      <c r="P113" s="89">
        <f t="shared" si="21"/>
        <v>2361</v>
      </c>
      <c r="Q113" s="89">
        <v>1845</v>
      </c>
      <c r="R113" s="89">
        <f t="shared" si="11"/>
        <v>516</v>
      </c>
      <c r="S113" s="145">
        <f t="shared" si="12"/>
        <v>5</v>
      </c>
    </row>
    <row r="114" spans="1:19" ht="17.25" customHeight="1">
      <c r="A114" s="132" t="s">
        <v>496</v>
      </c>
      <c r="B114" s="262" t="s">
        <v>268</v>
      </c>
      <c r="C114" s="89">
        <v>79</v>
      </c>
      <c r="D114" s="89">
        <f t="shared" si="20"/>
        <v>15</v>
      </c>
      <c r="E114" s="134"/>
      <c r="F114" s="135">
        <v>4</v>
      </c>
      <c r="G114" s="134"/>
      <c r="H114" s="134"/>
      <c r="I114" s="134"/>
      <c r="J114" s="89"/>
      <c r="K114" s="89"/>
      <c r="L114" s="89"/>
      <c r="M114" s="89"/>
      <c r="N114" s="89"/>
      <c r="O114" s="89">
        <v>11</v>
      </c>
      <c r="P114" s="89">
        <f t="shared" si="21"/>
        <v>94</v>
      </c>
      <c r="Q114" s="89">
        <v>24</v>
      </c>
      <c r="R114" s="89">
        <f t="shared" si="11"/>
        <v>70</v>
      </c>
      <c r="S114" s="145">
        <f t="shared" si="12"/>
        <v>5</v>
      </c>
    </row>
    <row r="115" spans="1:19" ht="17.25" customHeight="1">
      <c r="A115" s="132" t="s">
        <v>497</v>
      </c>
      <c r="B115" s="262" t="s">
        <v>269</v>
      </c>
      <c r="C115" s="89">
        <v>461</v>
      </c>
      <c r="D115" s="89">
        <f t="shared" si="20"/>
        <v>70</v>
      </c>
      <c r="E115" s="134"/>
      <c r="F115" s="135">
        <v>68</v>
      </c>
      <c r="G115" s="134"/>
      <c r="H115" s="134"/>
      <c r="I115" s="134"/>
      <c r="J115" s="89"/>
      <c r="K115" s="89"/>
      <c r="L115" s="89"/>
      <c r="M115" s="89"/>
      <c r="N115" s="89">
        <v>2</v>
      </c>
      <c r="O115" s="89"/>
      <c r="P115" s="89">
        <f t="shared" si="21"/>
        <v>531</v>
      </c>
      <c r="Q115" s="89">
        <v>463</v>
      </c>
      <c r="R115" s="89">
        <f t="shared" si="11"/>
        <v>68</v>
      </c>
      <c r="S115" s="145">
        <f t="shared" si="12"/>
        <v>5</v>
      </c>
    </row>
    <row r="116" spans="1:19" ht="17.25" customHeight="1">
      <c r="A116" s="132" t="s">
        <v>498</v>
      </c>
      <c r="B116" s="262" t="s">
        <v>270</v>
      </c>
      <c r="C116" s="89">
        <v>40</v>
      </c>
      <c r="D116" s="89">
        <f t="shared" si="20"/>
        <v>40</v>
      </c>
      <c r="E116" s="134"/>
      <c r="F116" s="135"/>
      <c r="G116" s="134"/>
      <c r="H116" s="134"/>
      <c r="I116" s="134"/>
      <c r="J116" s="89"/>
      <c r="K116" s="89"/>
      <c r="L116" s="89"/>
      <c r="M116" s="89"/>
      <c r="N116" s="89">
        <v>40</v>
      </c>
      <c r="O116" s="89"/>
      <c r="P116" s="89">
        <f t="shared" si="21"/>
        <v>80</v>
      </c>
      <c r="Q116" s="89">
        <v>40</v>
      </c>
      <c r="R116" s="89">
        <f t="shared" si="11"/>
        <v>40</v>
      </c>
      <c r="S116" s="145">
        <f t="shared" si="12"/>
        <v>5</v>
      </c>
    </row>
    <row r="117" spans="1:19" ht="16.5" customHeight="1">
      <c r="A117" s="132" t="s">
        <v>499</v>
      </c>
      <c r="B117" s="133" t="s">
        <v>271</v>
      </c>
      <c r="C117" s="89">
        <v>1540</v>
      </c>
      <c r="D117" s="89">
        <f t="shared" si="20"/>
        <v>60</v>
      </c>
      <c r="E117" s="134"/>
      <c r="F117" s="135">
        <v>3</v>
      </c>
      <c r="G117" s="134"/>
      <c r="H117" s="134"/>
      <c r="I117" s="134"/>
      <c r="J117" s="89">
        <v>-100</v>
      </c>
      <c r="K117" s="89"/>
      <c r="L117" s="89">
        <v>100</v>
      </c>
      <c r="M117" s="89"/>
      <c r="N117" s="89">
        <v>57</v>
      </c>
      <c r="O117" s="89"/>
      <c r="P117" s="89">
        <f t="shared" si="21"/>
        <v>1600</v>
      </c>
      <c r="Q117" s="89">
        <v>229</v>
      </c>
      <c r="R117" s="89">
        <f t="shared" si="11"/>
        <v>1371</v>
      </c>
      <c r="S117" s="145">
        <f t="shared" si="12"/>
        <v>5</v>
      </c>
    </row>
    <row r="118" spans="1:19" s="107" customFormat="1" ht="16.5" customHeight="1">
      <c r="A118" s="127" t="s">
        <v>500</v>
      </c>
      <c r="B118" s="128" t="s">
        <v>272</v>
      </c>
      <c r="C118" s="129">
        <f>SUM(C119:C133)</f>
        <v>2117</v>
      </c>
      <c r="D118" s="129">
        <f aca="true" t="shared" si="22" ref="D118:O118">SUM(D119:D133)</f>
        <v>2516</v>
      </c>
      <c r="E118" s="129">
        <f t="shared" si="22"/>
        <v>1054</v>
      </c>
      <c r="F118" s="129">
        <f t="shared" si="22"/>
        <v>57</v>
      </c>
      <c r="G118" s="129">
        <f t="shared" si="22"/>
        <v>15</v>
      </c>
      <c r="H118" s="129">
        <f t="shared" si="22"/>
        <v>0</v>
      </c>
      <c r="I118" s="129">
        <f t="shared" si="22"/>
        <v>0</v>
      </c>
      <c r="J118" s="129">
        <f t="shared" si="22"/>
        <v>0</v>
      </c>
      <c r="K118" s="129">
        <f t="shared" si="22"/>
        <v>0</v>
      </c>
      <c r="L118" s="129">
        <f t="shared" si="22"/>
        <v>0</v>
      </c>
      <c r="M118" s="129">
        <f t="shared" si="22"/>
        <v>0</v>
      </c>
      <c r="N118" s="129">
        <f t="shared" si="22"/>
        <v>0</v>
      </c>
      <c r="O118" s="129">
        <f t="shared" si="22"/>
        <v>1390</v>
      </c>
      <c r="P118" s="129">
        <f>SUM(P119:P121,P122:P133)</f>
        <v>4633</v>
      </c>
      <c r="Q118" s="129">
        <f>SUM(Q119:Q121,Q122:Q133)</f>
        <v>1770</v>
      </c>
      <c r="R118" s="129">
        <f t="shared" si="11"/>
        <v>2863</v>
      </c>
      <c r="S118" s="146">
        <f t="shared" si="12"/>
        <v>3</v>
      </c>
    </row>
    <row r="119" spans="1:19" s="27" customFormat="1" ht="16.5" customHeight="1">
      <c r="A119" s="132" t="s">
        <v>501</v>
      </c>
      <c r="B119" s="133" t="s">
        <v>273</v>
      </c>
      <c r="C119" s="89">
        <v>0</v>
      </c>
      <c r="D119" s="89">
        <f aca="true" t="shared" si="23" ref="D119:D133">SUM(E119:O119)</f>
        <v>6</v>
      </c>
      <c r="E119" s="134"/>
      <c r="F119" s="135"/>
      <c r="G119" s="134"/>
      <c r="H119" s="134"/>
      <c r="I119" s="134"/>
      <c r="J119" s="89">
        <v>6</v>
      </c>
      <c r="K119" s="89"/>
      <c r="L119" s="89"/>
      <c r="M119" s="89"/>
      <c r="N119" s="89"/>
      <c r="O119" s="89"/>
      <c r="P119" s="89">
        <f aca="true" t="shared" si="24" ref="P119:P133">C119+D119</f>
        <v>6</v>
      </c>
      <c r="Q119" s="89">
        <v>6</v>
      </c>
      <c r="R119" s="89">
        <f t="shared" si="11"/>
        <v>0</v>
      </c>
      <c r="S119" s="145">
        <f t="shared" si="12"/>
        <v>5</v>
      </c>
    </row>
    <row r="120" spans="1:19" s="27" customFormat="1" ht="16.5" customHeight="1">
      <c r="A120" s="132" t="s">
        <v>502</v>
      </c>
      <c r="B120" s="133" t="s">
        <v>274</v>
      </c>
      <c r="C120" s="89">
        <v>0</v>
      </c>
      <c r="D120" s="89">
        <f t="shared" si="23"/>
        <v>0</v>
      </c>
      <c r="E120" s="134"/>
      <c r="F120" s="135"/>
      <c r="G120" s="134"/>
      <c r="H120" s="134"/>
      <c r="I120" s="134"/>
      <c r="J120" s="89"/>
      <c r="K120" s="89"/>
      <c r="L120" s="89"/>
      <c r="M120" s="89"/>
      <c r="N120" s="89"/>
      <c r="O120" s="89"/>
      <c r="P120" s="89">
        <f t="shared" si="24"/>
        <v>0</v>
      </c>
      <c r="Q120" s="89">
        <v>0</v>
      </c>
      <c r="R120" s="89">
        <f t="shared" si="11"/>
        <v>0</v>
      </c>
      <c r="S120" s="145">
        <f t="shared" si="12"/>
        <v>5</v>
      </c>
    </row>
    <row r="121" spans="1:19" s="27" customFormat="1" ht="16.5" customHeight="1">
      <c r="A121" s="132" t="s">
        <v>503</v>
      </c>
      <c r="B121" s="133" t="s">
        <v>275</v>
      </c>
      <c r="C121" s="89">
        <v>40</v>
      </c>
      <c r="D121" s="89">
        <f t="shared" si="23"/>
        <v>703</v>
      </c>
      <c r="E121" s="134"/>
      <c r="F121" s="135"/>
      <c r="G121" s="134">
        <v>8</v>
      </c>
      <c r="H121" s="134"/>
      <c r="I121" s="134"/>
      <c r="J121" s="89">
        <v>695</v>
      </c>
      <c r="K121" s="89"/>
      <c r="L121" s="89"/>
      <c r="M121" s="89"/>
      <c r="N121" s="89"/>
      <c r="O121" s="89"/>
      <c r="P121" s="89">
        <f t="shared" si="24"/>
        <v>743</v>
      </c>
      <c r="Q121" s="89">
        <v>743</v>
      </c>
      <c r="R121" s="89">
        <f t="shared" si="11"/>
        <v>0</v>
      </c>
      <c r="S121" s="145">
        <f t="shared" si="12"/>
        <v>5</v>
      </c>
    </row>
    <row r="122" spans="1:19" s="27" customFormat="1" ht="16.5" customHeight="1">
      <c r="A122" s="132" t="s">
        <v>504</v>
      </c>
      <c r="B122" s="133" t="s">
        <v>276</v>
      </c>
      <c r="C122" s="89">
        <v>1457</v>
      </c>
      <c r="D122" s="89">
        <f t="shared" si="23"/>
        <v>1062</v>
      </c>
      <c r="E122" s="134">
        <v>1054</v>
      </c>
      <c r="F122" s="135">
        <v>8</v>
      </c>
      <c r="G122" s="134"/>
      <c r="H122" s="134"/>
      <c r="I122" s="134"/>
      <c r="J122" s="89"/>
      <c r="K122" s="89"/>
      <c r="L122" s="89"/>
      <c r="M122" s="89"/>
      <c r="N122" s="89"/>
      <c r="O122" s="89"/>
      <c r="P122" s="89">
        <f t="shared" si="24"/>
        <v>2519</v>
      </c>
      <c r="Q122" s="89">
        <v>977</v>
      </c>
      <c r="R122" s="89">
        <f t="shared" si="11"/>
        <v>1542</v>
      </c>
      <c r="S122" s="145">
        <f t="shared" si="12"/>
        <v>5</v>
      </c>
    </row>
    <row r="123" spans="1:19" s="27" customFormat="1" ht="16.5" customHeight="1">
      <c r="A123" s="132" t="s">
        <v>505</v>
      </c>
      <c r="B123" s="133" t="s">
        <v>277</v>
      </c>
      <c r="C123" s="89">
        <v>20</v>
      </c>
      <c r="D123" s="89">
        <f t="shared" si="23"/>
        <v>0</v>
      </c>
      <c r="E123" s="134"/>
      <c r="F123" s="135"/>
      <c r="G123" s="134"/>
      <c r="H123" s="134"/>
      <c r="I123" s="134"/>
      <c r="J123" s="89"/>
      <c r="K123" s="89"/>
      <c r="L123" s="89"/>
      <c r="M123" s="89"/>
      <c r="N123" s="89"/>
      <c r="O123" s="89"/>
      <c r="P123" s="89">
        <f t="shared" si="24"/>
        <v>20</v>
      </c>
      <c r="Q123" s="89">
        <v>10</v>
      </c>
      <c r="R123" s="89">
        <f t="shared" si="11"/>
        <v>10</v>
      </c>
      <c r="S123" s="145">
        <f t="shared" si="12"/>
        <v>5</v>
      </c>
    </row>
    <row r="124" spans="1:19" s="27" customFormat="1" ht="16.5" customHeight="1">
      <c r="A124" s="132" t="s">
        <v>506</v>
      </c>
      <c r="B124" s="133" t="s">
        <v>278</v>
      </c>
      <c r="C124" s="89">
        <v>0</v>
      </c>
      <c r="D124" s="89">
        <f t="shared" si="23"/>
        <v>49</v>
      </c>
      <c r="E124" s="134"/>
      <c r="F124" s="135">
        <v>49</v>
      </c>
      <c r="G124" s="134"/>
      <c r="H124" s="134"/>
      <c r="I124" s="134"/>
      <c r="J124" s="89"/>
      <c r="K124" s="89"/>
      <c r="L124" s="89"/>
      <c r="M124" s="89"/>
      <c r="N124" s="89"/>
      <c r="O124" s="89"/>
      <c r="P124" s="89">
        <f t="shared" si="24"/>
        <v>49</v>
      </c>
      <c r="Q124" s="89">
        <v>0</v>
      </c>
      <c r="R124" s="89">
        <f t="shared" si="11"/>
        <v>49</v>
      </c>
      <c r="S124" s="145">
        <f t="shared" si="12"/>
        <v>5</v>
      </c>
    </row>
    <row r="125" spans="1:19" s="27" customFormat="1" ht="16.5" customHeight="1">
      <c r="A125" s="132" t="s">
        <v>507</v>
      </c>
      <c r="B125" s="133" t="s">
        <v>279</v>
      </c>
      <c r="C125" s="89">
        <v>0</v>
      </c>
      <c r="D125" s="89">
        <f t="shared" si="23"/>
        <v>0</v>
      </c>
      <c r="E125" s="134"/>
      <c r="F125" s="135"/>
      <c r="G125" s="134"/>
      <c r="H125" s="134"/>
      <c r="I125" s="134"/>
      <c r="J125" s="89"/>
      <c r="K125" s="89"/>
      <c r="L125" s="89"/>
      <c r="M125" s="89"/>
      <c r="N125" s="89"/>
      <c r="O125" s="89">
        <v>0</v>
      </c>
      <c r="P125" s="89">
        <f t="shared" si="24"/>
        <v>0</v>
      </c>
      <c r="Q125" s="89">
        <v>0</v>
      </c>
      <c r="R125" s="89">
        <f t="shared" si="11"/>
        <v>0</v>
      </c>
      <c r="S125" s="145">
        <f t="shared" si="12"/>
        <v>5</v>
      </c>
    </row>
    <row r="126" spans="1:19" ht="16.5" customHeight="1">
      <c r="A126" s="132" t="s">
        <v>508</v>
      </c>
      <c r="B126" s="133" t="s">
        <v>280</v>
      </c>
      <c r="C126" s="89">
        <v>0</v>
      </c>
      <c r="D126" s="89">
        <f t="shared" si="23"/>
        <v>0</v>
      </c>
      <c r="E126" s="134"/>
      <c r="F126" s="135"/>
      <c r="G126" s="134"/>
      <c r="H126" s="134"/>
      <c r="I126" s="134"/>
      <c r="J126" s="89"/>
      <c r="K126" s="89"/>
      <c r="L126" s="89"/>
      <c r="M126" s="89"/>
      <c r="N126" s="89"/>
      <c r="O126" s="89">
        <v>0</v>
      </c>
      <c r="P126" s="89">
        <f t="shared" si="24"/>
        <v>0</v>
      </c>
      <c r="Q126" s="89">
        <v>0</v>
      </c>
      <c r="R126" s="89">
        <f t="shared" si="11"/>
        <v>0</v>
      </c>
      <c r="S126" s="145">
        <f t="shared" si="12"/>
        <v>5</v>
      </c>
    </row>
    <row r="127" spans="1:19" ht="16.5" customHeight="1">
      <c r="A127" s="132" t="s">
        <v>509</v>
      </c>
      <c r="B127" s="133" t="s">
        <v>281</v>
      </c>
      <c r="C127" s="89">
        <v>0</v>
      </c>
      <c r="D127" s="89">
        <f t="shared" si="23"/>
        <v>0</v>
      </c>
      <c r="E127" s="134"/>
      <c r="F127" s="135"/>
      <c r="G127" s="134"/>
      <c r="H127" s="134"/>
      <c r="I127" s="134"/>
      <c r="J127" s="89"/>
      <c r="K127" s="89"/>
      <c r="L127" s="89"/>
      <c r="M127" s="89"/>
      <c r="N127" s="89"/>
      <c r="O127" s="89">
        <v>0</v>
      </c>
      <c r="P127" s="89">
        <f t="shared" si="24"/>
        <v>0</v>
      </c>
      <c r="Q127" s="89">
        <v>0</v>
      </c>
      <c r="R127" s="89">
        <f t="shared" si="11"/>
        <v>0</v>
      </c>
      <c r="S127" s="145">
        <f t="shared" si="12"/>
        <v>5</v>
      </c>
    </row>
    <row r="128" spans="1:19" ht="16.5" customHeight="1">
      <c r="A128" s="132" t="s">
        <v>510</v>
      </c>
      <c r="B128" s="133" t="s">
        <v>282</v>
      </c>
      <c r="C128" s="89">
        <v>0</v>
      </c>
      <c r="D128" s="89">
        <f t="shared" si="23"/>
        <v>42</v>
      </c>
      <c r="E128" s="134"/>
      <c r="F128" s="135"/>
      <c r="G128" s="134">
        <v>7</v>
      </c>
      <c r="H128" s="134"/>
      <c r="I128" s="134"/>
      <c r="J128" s="89"/>
      <c r="K128" s="89"/>
      <c r="L128" s="89"/>
      <c r="M128" s="89"/>
      <c r="N128" s="89"/>
      <c r="O128" s="89">
        <v>35</v>
      </c>
      <c r="P128" s="89">
        <f t="shared" si="24"/>
        <v>42</v>
      </c>
      <c r="Q128" s="89">
        <v>34</v>
      </c>
      <c r="R128" s="89">
        <f t="shared" si="11"/>
        <v>8</v>
      </c>
      <c r="S128" s="145">
        <f t="shared" si="12"/>
        <v>5</v>
      </c>
    </row>
    <row r="129" spans="1:19" ht="16.5" customHeight="1">
      <c r="A129" s="132" t="s">
        <v>511</v>
      </c>
      <c r="B129" s="133" t="s">
        <v>283</v>
      </c>
      <c r="C129" s="89">
        <v>200</v>
      </c>
      <c r="D129" s="89">
        <f t="shared" si="23"/>
        <v>0</v>
      </c>
      <c r="E129" s="134"/>
      <c r="F129" s="135"/>
      <c r="G129" s="134"/>
      <c r="H129" s="134"/>
      <c r="I129" s="134"/>
      <c r="J129" s="89"/>
      <c r="K129" s="89"/>
      <c r="L129" s="89"/>
      <c r="M129" s="89"/>
      <c r="N129" s="89"/>
      <c r="O129" s="89">
        <v>0</v>
      </c>
      <c r="P129" s="89">
        <f t="shared" si="24"/>
        <v>200</v>
      </c>
      <c r="Q129" s="89">
        <v>0</v>
      </c>
      <c r="R129" s="89">
        <f t="shared" si="11"/>
        <v>200</v>
      </c>
      <c r="S129" s="145">
        <f t="shared" si="12"/>
        <v>5</v>
      </c>
    </row>
    <row r="130" spans="1:19" ht="16.5" customHeight="1">
      <c r="A130" s="132" t="s">
        <v>512</v>
      </c>
      <c r="B130" s="133" t="s">
        <v>284</v>
      </c>
      <c r="C130" s="89">
        <v>400</v>
      </c>
      <c r="D130" s="89">
        <f t="shared" si="23"/>
        <v>0</v>
      </c>
      <c r="E130" s="134"/>
      <c r="F130" s="135"/>
      <c r="G130" s="134"/>
      <c r="H130" s="134"/>
      <c r="I130" s="134"/>
      <c r="J130" s="89"/>
      <c r="K130" s="89"/>
      <c r="L130" s="89"/>
      <c r="M130" s="89"/>
      <c r="N130" s="89"/>
      <c r="O130" s="89">
        <v>0</v>
      </c>
      <c r="P130" s="89">
        <f t="shared" si="24"/>
        <v>400</v>
      </c>
      <c r="Q130" s="89">
        <v>0</v>
      </c>
      <c r="R130" s="89">
        <f t="shared" si="11"/>
        <v>400</v>
      </c>
      <c r="S130" s="145">
        <f t="shared" si="12"/>
        <v>5</v>
      </c>
    </row>
    <row r="131" spans="1:19" ht="16.5" customHeight="1">
      <c r="A131" s="132" t="s">
        <v>513</v>
      </c>
      <c r="B131" s="262" t="s">
        <v>285</v>
      </c>
      <c r="C131" s="89">
        <v>0</v>
      </c>
      <c r="D131" s="89">
        <f t="shared" si="23"/>
        <v>0</v>
      </c>
      <c r="E131" s="134"/>
      <c r="F131" s="135"/>
      <c r="G131" s="134"/>
      <c r="H131" s="134"/>
      <c r="I131" s="134"/>
      <c r="J131" s="89"/>
      <c r="K131" s="89"/>
      <c r="L131" s="89"/>
      <c r="M131" s="89"/>
      <c r="N131" s="89"/>
      <c r="O131" s="89">
        <v>0</v>
      </c>
      <c r="P131" s="89">
        <f t="shared" si="24"/>
        <v>0</v>
      </c>
      <c r="Q131" s="89">
        <v>0</v>
      </c>
      <c r="R131" s="89">
        <f t="shared" si="11"/>
        <v>0</v>
      </c>
      <c r="S131" s="145">
        <f t="shared" si="12"/>
        <v>5</v>
      </c>
    </row>
    <row r="132" spans="1:19" ht="16.5" customHeight="1">
      <c r="A132" s="132" t="s">
        <v>514</v>
      </c>
      <c r="B132" s="133" t="s">
        <v>286</v>
      </c>
      <c r="C132" s="89">
        <v>0</v>
      </c>
      <c r="D132" s="89">
        <f t="shared" si="23"/>
        <v>0</v>
      </c>
      <c r="E132" s="134"/>
      <c r="F132" s="135"/>
      <c r="G132" s="134"/>
      <c r="H132" s="134"/>
      <c r="I132" s="134"/>
      <c r="J132" s="89"/>
      <c r="K132" s="89"/>
      <c r="L132" s="89"/>
      <c r="M132" s="89"/>
      <c r="N132" s="89"/>
      <c r="O132" s="89">
        <v>0</v>
      </c>
      <c r="P132" s="89">
        <f t="shared" si="24"/>
        <v>0</v>
      </c>
      <c r="Q132" s="89">
        <v>0</v>
      </c>
      <c r="R132" s="89">
        <f t="shared" si="11"/>
        <v>0</v>
      </c>
      <c r="S132" s="145">
        <f t="shared" si="12"/>
        <v>5</v>
      </c>
    </row>
    <row r="133" spans="1:19" ht="16.5" customHeight="1">
      <c r="A133" s="132" t="s">
        <v>515</v>
      </c>
      <c r="B133" s="133" t="s">
        <v>287</v>
      </c>
      <c r="C133" s="89">
        <v>0</v>
      </c>
      <c r="D133" s="89">
        <f t="shared" si="23"/>
        <v>654</v>
      </c>
      <c r="E133" s="134"/>
      <c r="F133" s="135"/>
      <c r="G133" s="134"/>
      <c r="H133" s="134"/>
      <c r="I133" s="134"/>
      <c r="J133" s="89">
        <v>-701</v>
      </c>
      <c r="K133" s="89"/>
      <c r="L133" s="89"/>
      <c r="M133" s="89"/>
      <c r="N133" s="89"/>
      <c r="O133" s="89">
        <v>1355</v>
      </c>
      <c r="P133" s="89">
        <f t="shared" si="24"/>
        <v>654</v>
      </c>
      <c r="Q133" s="89"/>
      <c r="R133" s="89">
        <f t="shared" si="11"/>
        <v>654</v>
      </c>
      <c r="S133" s="145">
        <f t="shared" si="12"/>
        <v>5</v>
      </c>
    </row>
    <row r="134" spans="1:19" s="107" customFormat="1" ht="16.5" customHeight="1">
      <c r="A134" s="127" t="s">
        <v>516</v>
      </c>
      <c r="B134" s="128" t="s">
        <v>288</v>
      </c>
      <c r="C134" s="129">
        <f>SUM(C135:C140)</f>
        <v>10958</v>
      </c>
      <c r="D134" s="129">
        <f>SUM(D135:D140)</f>
        <v>1771</v>
      </c>
      <c r="E134" s="130">
        <f aca="true" t="shared" si="25" ref="E134:Q134">SUM(E135:E140)</f>
        <v>1532</v>
      </c>
      <c r="F134" s="131">
        <f t="shared" si="25"/>
        <v>182</v>
      </c>
      <c r="G134" s="130">
        <f t="shared" si="25"/>
        <v>0</v>
      </c>
      <c r="H134" s="130">
        <f t="shared" si="25"/>
        <v>0</v>
      </c>
      <c r="I134" s="130">
        <f t="shared" si="25"/>
        <v>0</v>
      </c>
      <c r="J134" s="129">
        <f t="shared" si="25"/>
        <v>0</v>
      </c>
      <c r="K134" s="129">
        <f t="shared" si="25"/>
        <v>0</v>
      </c>
      <c r="L134" s="129">
        <f t="shared" si="25"/>
        <v>657</v>
      </c>
      <c r="M134" s="129">
        <f t="shared" si="25"/>
        <v>0</v>
      </c>
      <c r="N134" s="129">
        <f t="shared" si="25"/>
        <v>-537</v>
      </c>
      <c r="O134" s="129">
        <f t="shared" si="25"/>
        <v>-63</v>
      </c>
      <c r="P134" s="129">
        <f t="shared" si="25"/>
        <v>12729</v>
      </c>
      <c r="Q134" s="129">
        <f t="shared" si="25"/>
        <v>6700</v>
      </c>
      <c r="R134" s="129">
        <f t="shared" si="11"/>
        <v>6029</v>
      </c>
      <c r="S134" s="146">
        <f t="shared" si="12"/>
        <v>3</v>
      </c>
    </row>
    <row r="135" spans="1:19" ht="16.5" customHeight="1">
      <c r="A135" s="132" t="s">
        <v>517</v>
      </c>
      <c r="B135" s="133" t="s">
        <v>289</v>
      </c>
      <c r="C135" s="89">
        <v>2589</v>
      </c>
      <c r="D135" s="89">
        <f aca="true" t="shared" si="26" ref="D135:D140">SUM(E135:O135)</f>
        <v>624</v>
      </c>
      <c r="E135" s="134"/>
      <c r="F135" s="135"/>
      <c r="G135" s="134"/>
      <c r="H135" s="134"/>
      <c r="I135" s="134"/>
      <c r="J135" s="89">
        <v>500</v>
      </c>
      <c r="K135" s="89"/>
      <c r="L135" s="89"/>
      <c r="M135" s="89"/>
      <c r="N135" s="89">
        <v>124</v>
      </c>
      <c r="O135" s="89"/>
      <c r="P135" s="89">
        <f aca="true" t="shared" si="27" ref="P135:P140">C135+D135</f>
        <v>3213</v>
      </c>
      <c r="Q135" s="89">
        <v>2762</v>
      </c>
      <c r="R135" s="89">
        <f aca="true" t="shared" si="28" ref="R135:R198">P135-Q135</f>
        <v>451</v>
      </c>
      <c r="S135" s="145">
        <f t="shared" si="12"/>
        <v>5</v>
      </c>
    </row>
    <row r="136" spans="1:19" ht="16.5" customHeight="1">
      <c r="A136" s="132" t="s">
        <v>518</v>
      </c>
      <c r="B136" s="133" t="s">
        <v>290</v>
      </c>
      <c r="C136" s="89">
        <v>0</v>
      </c>
      <c r="D136" s="89">
        <f t="shared" si="26"/>
        <v>0</v>
      </c>
      <c r="E136" s="134"/>
      <c r="F136" s="135"/>
      <c r="G136" s="134"/>
      <c r="H136" s="134"/>
      <c r="I136" s="134"/>
      <c r="J136" s="89"/>
      <c r="K136" s="89"/>
      <c r="L136" s="89"/>
      <c r="M136" s="89"/>
      <c r="N136" s="89"/>
      <c r="O136" s="89"/>
      <c r="P136" s="89">
        <f t="shared" si="27"/>
        <v>0</v>
      </c>
      <c r="Q136" s="89">
        <v>0</v>
      </c>
      <c r="R136" s="89">
        <f t="shared" si="28"/>
        <v>0</v>
      </c>
      <c r="S136" s="145">
        <f aca="true" t="shared" si="29" ref="S136:S199">LEN(A136)</f>
        <v>5</v>
      </c>
    </row>
    <row r="137" spans="1:19" ht="16.5" customHeight="1">
      <c r="A137" s="132" t="s">
        <v>519</v>
      </c>
      <c r="B137" s="133" t="s">
        <v>291</v>
      </c>
      <c r="C137" s="89">
        <v>5937</v>
      </c>
      <c r="D137" s="89">
        <f t="shared" si="26"/>
        <v>761</v>
      </c>
      <c r="E137" s="134">
        <v>1532</v>
      </c>
      <c r="F137" s="135">
        <v>182</v>
      </c>
      <c r="G137" s="134"/>
      <c r="H137" s="134"/>
      <c r="I137" s="134"/>
      <c r="J137" s="89">
        <v>-1500</v>
      </c>
      <c r="K137" s="89"/>
      <c r="L137" s="89">
        <v>657</v>
      </c>
      <c r="M137" s="89"/>
      <c r="N137" s="89"/>
      <c r="O137" s="89">
        <v>-110</v>
      </c>
      <c r="P137" s="89">
        <f t="shared" si="27"/>
        <v>6698</v>
      </c>
      <c r="Q137" s="89">
        <v>1249</v>
      </c>
      <c r="R137" s="89">
        <f t="shared" si="28"/>
        <v>5449</v>
      </c>
      <c r="S137" s="145">
        <f t="shared" si="29"/>
        <v>5</v>
      </c>
    </row>
    <row r="138" spans="1:19" ht="16.5" customHeight="1">
      <c r="A138" s="132" t="s">
        <v>520</v>
      </c>
      <c r="B138" s="133" t="s">
        <v>292</v>
      </c>
      <c r="C138" s="89">
        <v>1836</v>
      </c>
      <c r="D138" s="89">
        <f t="shared" si="26"/>
        <v>120</v>
      </c>
      <c r="E138" s="134"/>
      <c r="F138" s="135"/>
      <c r="G138" s="134"/>
      <c r="H138" s="134"/>
      <c r="I138" s="134"/>
      <c r="J138" s="89">
        <v>1000</v>
      </c>
      <c r="K138" s="89"/>
      <c r="L138" s="89"/>
      <c r="M138" s="89"/>
      <c r="N138" s="89">
        <f>-1000+120</f>
        <v>-880</v>
      </c>
      <c r="O138" s="89"/>
      <c r="P138" s="89">
        <f t="shared" si="27"/>
        <v>1956</v>
      </c>
      <c r="Q138" s="89">
        <v>1877</v>
      </c>
      <c r="R138" s="89">
        <f t="shared" si="28"/>
        <v>79</v>
      </c>
      <c r="S138" s="145">
        <f t="shared" si="29"/>
        <v>5</v>
      </c>
    </row>
    <row r="139" spans="1:19" ht="16.5" customHeight="1">
      <c r="A139" s="132" t="s">
        <v>521</v>
      </c>
      <c r="B139" s="133" t="s">
        <v>293</v>
      </c>
      <c r="C139" s="89">
        <v>0</v>
      </c>
      <c r="D139" s="89">
        <f t="shared" si="26"/>
        <v>0</v>
      </c>
      <c r="E139" s="134"/>
      <c r="F139" s="135"/>
      <c r="G139" s="134"/>
      <c r="H139" s="134"/>
      <c r="I139" s="134"/>
      <c r="J139" s="89"/>
      <c r="K139" s="89"/>
      <c r="L139" s="89"/>
      <c r="M139" s="89"/>
      <c r="N139" s="89"/>
      <c r="O139" s="89"/>
      <c r="P139" s="89">
        <f t="shared" si="27"/>
        <v>0</v>
      </c>
      <c r="Q139" s="89">
        <v>0</v>
      </c>
      <c r="R139" s="89">
        <f t="shared" si="28"/>
        <v>0</v>
      </c>
      <c r="S139" s="145">
        <f t="shared" si="29"/>
        <v>5</v>
      </c>
    </row>
    <row r="140" spans="1:19" ht="16.5" customHeight="1">
      <c r="A140" s="132" t="s">
        <v>522</v>
      </c>
      <c r="B140" s="133" t="s">
        <v>294</v>
      </c>
      <c r="C140" s="89">
        <v>596</v>
      </c>
      <c r="D140" s="89">
        <f t="shared" si="26"/>
        <v>266</v>
      </c>
      <c r="E140" s="134"/>
      <c r="F140" s="135"/>
      <c r="G140" s="134"/>
      <c r="H140" s="134"/>
      <c r="I140" s="134"/>
      <c r="J140" s="89"/>
      <c r="K140" s="89"/>
      <c r="L140" s="89"/>
      <c r="M140" s="89"/>
      <c r="N140" s="89">
        <v>219</v>
      </c>
      <c r="O140" s="89">
        <v>47</v>
      </c>
      <c r="P140" s="89">
        <f t="shared" si="27"/>
        <v>862</v>
      </c>
      <c r="Q140" s="89">
        <v>812</v>
      </c>
      <c r="R140" s="89">
        <f t="shared" si="28"/>
        <v>50</v>
      </c>
      <c r="S140" s="145">
        <f t="shared" si="29"/>
        <v>5</v>
      </c>
    </row>
    <row r="141" spans="1:19" s="107" customFormat="1" ht="16.5" customHeight="1">
      <c r="A141" s="127" t="s">
        <v>523</v>
      </c>
      <c r="B141" s="148" t="s">
        <v>295</v>
      </c>
      <c r="C141" s="129">
        <f>SUM(C142:C151)</f>
        <v>86792</v>
      </c>
      <c r="D141" s="129">
        <f aca="true" t="shared" si="30" ref="D141:Q141">SUM(D142:D144,D146:D151)</f>
        <v>37215</v>
      </c>
      <c r="E141" s="130">
        <f t="shared" si="30"/>
        <v>11781</v>
      </c>
      <c r="F141" s="131">
        <f t="shared" si="30"/>
        <v>22440</v>
      </c>
      <c r="G141" s="130">
        <f t="shared" si="30"/>
        <v>625</v>
      </c>
      <c r="H141" s="130">
        <f t="shared" si="30"/>
        <v>0</v>
      </c>
      <c r="I141" s="130">
        <f t="shared" si="30"/>
        <v>1500</v>
      </c>
      <c r="J141" s="129">
        <f t="shared" si="30"/>
        <v>-2001</v>
      </c>
      <c r="K141" s="129">
        <f t="shared" si="30"/>
        <v>1303</v>
      </c>
      <c r="L141" s="129">
        <f t="shared" si="30"/>
        <v>2000</v>
      </c>
      <c r="M141" s="129">
        <f t="shared" si="30"/>
        <v>0</v>
      </c>
      <c r="N141" s="129">
        <f>SUM(N142:N151)</f>
        <v>-3154</v>
      </c>
      <c r="O141" s="129">
        <f t="shared" si="30"/>
        <v>2721</v>
      </c>
      <c r="P141" s="129">
        <f t="shared" si="30"/>
        <v>124007</v>
      </c>
      <c r="Q141" s="129">
        <f t="shared" si="30"/>
        <v>86316</v>
      </c>
      <c r="R141" s="129">
        <f t="shared" si="28"/>
        <v>37691</v>
      </c>
      <c r="S141" s="146">
        <f t="shared" si="29"/>
        <v>3</v>
      </c>
    </row>
    <row r="142" spans="1:19" ht="16.5" customHeight="1">
      <c r="A142" s="149" t="s">
        <v>524</v>
      </c>
      <c r="B142" s="133" t="s">
        <v>296</v>
      </c>
      <c r="C142" s="89">
        <v>10148</v>
      </c>
      <c r="D142" s="89">
        <f aca="true" t="shared" si="31" ref="D142:D151">SUM(E142:O142)</f>
        <v>3978</v>
      </c>
      <c r="E142" s="134">
        <v>1403</v>
      </c>
      <c r="F142" s="135">
        <f>4771-1200</f>
        <v>3571</v>
      </c>
      <c r="G142" s="134">
        <v>317</v>
      </c>
      <c r="H142" s="134"/>
      <c r="I142" s="134"/>
      <c r="J142" s="89"/>
      <c r="K142" s="89"/>
      <c r="L142" s="89"/>
      <c r="M142" s="89"/>
      <c r="N142" s="89">
        <f>-1000+6</f>
        <v>-994</v>
      </c>
      <c r="O142" s="89">
        <v>-319</v>
      </c>
      <c r="P142" s="89">
        <f aca="true" t="shared" si="32" ref="P142:P151">C142+D142</f>
        <v>14126</v>
      </c>
      <c r="Q142" s="89">
        <v>5876</v>
      </c>
      <c r="R142" s="89">
        <f t="shared" si="28"/>
        <v>8250</v>
      </c>
      <c r="S142" s="145">
        <f t="shared" si="29"/>
        <v>5</v>
      </c>
    </row>
    <row r="143" spans="1:19" ht="16.5" customHeight="1">
      <c r="A143" s="132" t="s">
        <v>525</v>
      </c>
      <c r="B143" s="150" t="s">
        <v>297</v>
      </c>
      <c r="C143" s="89">
        <v>11901</v>
      </c>
      <c r="D143" s="89">
        <f t="shared" si="31"/>
        <v>3939</v>
      </c>
      <c r="E143" s="134">
        <v>4296</v>
      </c>
      <c r="F143" s="135">
        <v>981</v>
      </c>
      <c r="G143" s="134">
        <v>108</v>
      </c>
      <c r="H143" s="134"/>
      <c r="I143" s="134"/>
      <c r="J143" s="89"/>
      <c r="K143" s="89"/>
      <c r="L143" s="89"/>
      <c r="M143" s="89"/>
      <c r="N143" s="89">
        <f>-1000+1</f>
        <v>-999</v>
      </c>
      <c r="O143" s="89">
        <v>-447</v>
      </c>
      <c r="P143" s="89">
        <f t="shared" si="32"/>
        <v>15840</v>
      </c>
      <c r="Q143" s="89">
        <v>6034</v>
      </c>
      <c r="R143" s="89">
        <f t="shared" si="28"/>
        <v>9806</v>
      </c>
      <c r="S143" s="145">
        <f t="shared" si="29"/>
        <v>5</v>
      </c>
    </row>
    <row r="144" spans="1:19" ht="16.5" customHeight="1">
      <c r="A144" s="132" t="s">
        <v>526</v>
      </c>
      <c r="B144" s="133" t="s">
        <v>298</v>
      </c>
      <c r="C144" s="89">
        <v>4201</v>
      </c>
      <c r="D144" s="89">
        <f t="shared" si="31"/>
        <v>2165</v>
      </c>
      <c r="E144" s="134"/>
      <c r="F144" s="135">
        <v>165</v>
      </c>
      <c r="G144" s="134"/>
      <c r="H144" s="134"/>
      <c r="I144" s="134"/>
      <c r="J144" s="89"/>
      <c r="K144" s="89"/>
      <c r="L144" s="89">
        <v>2000</v>
      </c>
      <c r="M144" s="89"/>
      <c r="N144" s="89"/>
      <c r="O144" s="89"/>
      <c r="P144" s="89">
        <f t="shared" si="32"/>
        <v>6366</v>
      </c>
      <c r="Q144" s="89">
        <v>1402</v>
      </c>
      <c r="R144" s="89">
        <f t="shared" si="28"/>
        <v>4964</v>
      </c>
      <c r="S144" s="145">
        <f t="shared" si="29"/>
        <v>5</v>
      </c>
    </row>
    <row r="145" spans="1:19" ht="16.5" customHeight="1">
      <c r="A145" s="132" t="s">
        <v>527</v>
      </c>
      <c r="B145" s="133" t="s">
        <v>299</v>
      </c>
      <c r="C145" s="89">
        <v>0</v>
      </c>
      <c r="D145" s="89">
        <f t="shared" si="31"/>
        <v>0</v>
      </c>
      <c r="E145" s="134"/>
      <c r="F145" s="135"/>
      <c r="G145" s="134"/>
      <c r="H145" s="134"/>
      <c r="I145" s="134"/>
      <c r="J145" s="89"/>
      <c r="K145" s="89"/>
      <c r="L145" s="89"/>
      <c r="M145" s="89"/>
      <c r="N145" s="89"/>
      <c r="O145" s="89"/>
      <c r="P145" s="89">
        <f t="shared" si="32"/>
        <v>0</v>
      </c>
      <c r="Q145" s="89"/>
      <c r="R145" s="89">
        <f t="shared" si="28"/>
        <v>0</v>
      </c>
      <c r="S145" s="145">
        <f t="shared" si="29"/>
        <v>5</v>
      </c>
    </row>
    <row r="146" spans="1:19" ht="16.5" customHeight="1">
      <c r="A146" s="132" t="s">
        <v>528</v>
      </c>
      <c r="B146" s="86" t="s">
        <v>529</v>
      </c>
      <c r="C146" s="89">
        <v>47413</v>
      </c>
      <c r="D146" s="89">
        <f t="shared" si="31"/>
        <v>25508</v>
      </c>
      <c r="E146" s="134">
        <f>4670-3000</f>
        <v>1670</v>
      </c>
      <c r="F146" s="135">
        <f>21798-4075</f>
        <v>17723</v>
      </c>
      <c r="G146" s="134">
        <v>200</v>
      </c>
      <c r="H146" s="134"/>
      <c r="I146" s="134">
        <v>1500</v>
      </c>
      <c r="J146" s="89"/>
      <c r="K146" s="89">
        <v>1303</v>
      </c>
      <c r="L146" s="89"/>
      <c r="M146" s="89"/>
      <c r="N146" s="89">
        <f>-2370+1690</f>
        <v>-680</v>
      </c>
      <c r="O146" s="89">
        <v>3792</v>
      </c>
      <c r="P146" s="89">
        <f t="shared" si="32"/>
        <v>72921</v>
      </c>
      <c r="Q146" s="89">
        <v>67004</v>
      </c>
      <c r="R146" s="89">
        <f t="shared" si="28"/>
        <v>5917</v>
      </c>
      <c r="S146" s="145">
        <f t="shared" si="29"/>
        <v>5</v>
      </c>
    </row>
    <row r="147" spans="1:19" ht="16.5" customHeight="1">
      <c r="A147" s="132" t="s">
        <v>530</v>
      </c>
      <c r="B147" s="133" t="s">
        <v>301</v>
      </c>
      <c r="C147" s="89">
        <v>0</v>
      </c>
      <c r="D147" s="89">
        <f t="shared" si="31"/>
        <v>0</v>
      </c>
      <c r="E147" s="134"/>
      <c r="F147" s="135"/>
      <c r="G147" s="134"/>
      <c r="H147" s="134"/>
      <c r="I147" s="134"/>
      <c r="J147" s="89"/>
      <c r="K147" s="89"/>
      <c r="L147" s="89"/>
      <c r="M147" s="89"/>
      <c r="N147" s="89"/>
      <c r="O147" s="89"/>
      <c r="P147" s="89">
        <f t="shared" si="32"/>
        <v>0</v>
      </c>
      <c r="Q147" s="89"/>
      <c r="R147" s="89">
        <f t="shared" si="28"/>
        <v>0</v>
      </c>
      <c r="S147" s="145">
        <f t="shared" si="29"/>
        <v>5</v>
      </c>
    </row>
    <row r="148" spans="1:19" ht="16.5" customHeight="1">
      <c r="A148" s="132" t="s">
        <v>531</v>
      </c>
      <c r="B148" s="133" t="s">
        <v>302</v>
      </c>
      <c r="C148" s="89">
        <v>9579</v>
      </c>
      <c r="D148" s="89">
        <f t="shared" si="31"/>
        <v>-1776</v>
      </c>
      <c r="E148" s="134">
        <v>706</v>
      </c>
      <c r="F148" s="135"/>
      <c r="G148" s="134"/>
      <c r="H148" s="134"/>
      <c r="I148" s="134"/>
      <c r="J148" s="89">
        <v>-2001</v>
      </c>
      <c r="K148" s="89"/>
      <c r="L148" s="89"/>
      <c r="M148" s="89"/>
      <c r="N148" s="89">
        <f>-831+350</f>
        <v>-481</v>
      </c>
      <c r="O148" s="89"/>
      <c r="P148" s="89">
        <f t="shared" si="32"/>
        <v>7803</v>
      </c>
      <c r="Q148" s="89">
        <v>3998</v>
      </c>
      <c r="R148" s="89">
        <f t="shared" si="28"/>
        <v>3805</v>
      </c>
      <c r="S148" s="145">
        <f t="shared" si="29"/>
        <v>5</v>
      </c>
    </row>
    <row r="149" spans="1:19" ht="16.5" customHeight="1">
      <c r="A149" s="132" t="s">
        <v>532</v>
      </c>
      <c r="B149" s="262" t="s">
        <v>303</v>
      </c>
      <c r="C149" s="89">
        <v>3300</v>
      </c>
      <c r="D149" s="89">
        <f t="shared" si="31"/>
        <v>-324</v>
      </c>
      <c r="E149" s="134"/>
      <c r="F149" s="135"/>
      <c r="G149" s="134"/>
      <c r="H149" s="134"/>
      <c r="I149" s="134"/>
      <c r="J149" s="89"/>
      <c r="K149" s="89"/>
      <c r="L149" s="89"/>
      <c r="M149" s="89"/>
      <c r="N149" s="89"/>
      <c r="O149" s="89">
        <v>-324</v>
      </c>
      <c r="P149" s="89">
        <f t="shared" si="32"/>
        <v>2976</v>
      </c>
      <c r="Q149" s="89">
        <v>388</v>
      </c>
      <c r="R149" s="89">
        <f t="shared" si="28"/>
        <v>2588</v>
      </c>
      <c r="S149" s="145">
        <f t="shared" si="29"/>
        <v>5</v>
      </c>
    </row>
    <row r="150" spans="1:19" ht="16.5" customHeight="1">
      <c r="A150" s="132" t="s">
        <v>533</v>
      </c>
      <c r="B150" s="262" t="s">
        <v>304</v>
      </c>
      <c r="C150" s="89">
        <v>0</v>
      </c>
      <c r="D150" s="89">
        <f t="shared" si="31"/>
        <v>0</v>
      </c>
      <c r="E150" s="134"/>
      <c r="F150" s="135"/>
      <c r="G150" s="134"/>
      <c r="H150" s="134"/>
      <c r="I150" s="134"/>
      <c r="J150" s="89"/>
      <c r="K150" s="89"/>
      <c r="L150" s="89"/>
      <c r="M150" s="89"/>
      <c r="N150" s="89"/>
      <c r="O150" s="89"/>
      <c r="P150" s="89">
        <f t="shared" si="32"/>
        <v>0</v>
      </c>
      <c r="Q150" s="89">
        <v>0</v>
      </c>
      <c r="R150" s="89">
        <f t="shared" si="28"/>
        <v>0</v>
      </c>
      <c r="S150" s="145">
        <f t="shared" si="29"/>
        <v>5</v>
      </c>
    </row>
    <row r="151" spans="1:19" ht="16.5" customHeight="1">
      <c r="A151" s="132" t="s">
        <v>534</v>
      </c>
      <c r="B151" s="133" t="s">
        <v>305</v>
      </c>
      <c r="C151" s="89">
        <v>250</v>
      </c>
      <c r="D151" s="89">
        <f t="shared" si="31"/>
        <v>3725</v>
      </c>
      <c r="E151" s="134">
        <f>5706-2000</f>
        <v>3706</v>
      </c>
      <c r="F151" s="135"/>
      <c r="G151" s="134"/>
      <c r="H151" s="134"/>
      <c r="I151" s="134"/>
      <c r="J151" s="89"/>
      <c r="K151" s="89"/>
      <c r="L151" s="89"/>
      <c r="M151" s="89"/>
      <c r="N151" s="89"/>
      <c r="O151" s="89">
        <v>19</v>
      </c>
      <c r="P151" s="89">
        <f t="shared" si="32"/>
        <v>3975</v>
      </c>
      <c r="Q151" s="89">
        <v>1614</v>
      </c>
      <c r="R151" s="89">
        <f t="shared" si="28"/>
        <v>2361</v>
      </c>
      <c r="S151" s="145">
        <f t="shared" si="29"/>
        <v>5</v>
      </c>
    </row>
    <row r="152" spans="1:19" s="107" customFormat="1" ht="16.5" customHeight="1">
      <c r="A152" s="127" t="s">
        <v>535</v>
      </c>
      <c r="B152" s="128" t="s">
        <v>306</v>
      </c>
      <c r="C152" s="129">
        <f>SUM(C153:C159)</f>
        <v>6384</v>
      </c>
      <c r="D152" s="129">
        <f>SUM(D153:D159)</f>
        <v>5856</v>
      </c>
      <c r="E152" s="130">
        <f aca="true" t="shared" si="33" ref="E152:Q152">SUM(E153:E159)</f>
        <v>88</v>
      </c>
      <c r="F152" s="131">
        <f t="shared" si="33"/>
        <v>117</v>
      </c>
      <c r="G152" s="130">
        <f t="shared" si="33"/>
        <v>97</v>
      </c>
      <c r="H152" s="130">
        <f t="shared" si="33"/>
        <v>0</v>
      </c>
      <c r="I152" s="130">
        <f t="shared" si="33"/>
        <v>0</v>
      </c>
      <c r="J152" s="129">
        <f t="shared" si="33"/>
        <v>0</v>
      </c>
      <c r="K152" s="129">
        <f t="shared" si="33"/>
        <v>0</v>
      </c>
      <c r="L152" s="129">
        <f t="shared" si="33"/>
        <v>7071</v>
      </c>
      <c r="M152" s="129">
        <f t="shared" si="33"/>
        <v>0</v>
      </c>
      <c r="N152" s="129">
        <f t="shared" si="33"/>
        <v>-1499</v>
      </c>
      <c r="O152" s="129">
        <f t="shared" si="33"/>
        <v>-18</v>
      </c>
      <c r="P152" s="129">
        <f t="shared" si="33"/>
        <v>12240</v>
      </c>
      <c r="Q152" s="129">
        <f t="shared" si="33"/>
        <v>2514</v>
      </c>
      <c r="R152" s="129">
        <f t="shared" si="28"/>
        <v>9726</v>
      </c>
      <c r="S152" s="146">
        <f t="shared" si="29"/>
        <v>3</v>
      </c>
    </row>
    <row r="153" spans="1:19" ht="16.5" customHeight="1">
      <c r="A153" s="132" t="s">
        <v>536</v>
      </c>
      <c r="B153" s="133" t="s">
        <v>307</v>
      </c>
      <c r="C153" s="89">
        <v>5095</v>
      </c>
      <c r="D153" s="89">
        <f aca="true" t="shared" si="34" ref="D153:D159">SUM(E153:O153)</f>
        <v>5711</v>
      </c>
      <c r="E153" s="134">
        <v>88</v>
      </c>
      <c r="F153" s="135"/>
      <c r="G153" s="134">
        <v>97</v>
      </c>
      <c r="H153" s="134"/>
      <c r="I153" s="134"/>
      <c r="J153" s="134">
        <v>-78</v>
      </c>
      <c r="K153" s="89"/>
      <c r="L153" s="89">
        <f>7071</f>
        <v>7071</v>
      </c>
      <c r="M153" s="89"/>
      <c r="N153" s="89">
        <f>-1501+2</f>
        <v>-1499</v>
      </c>
      <c r="O153" s="89">
        <v>32</v>
      </c>
      <c r="P153" s="89">
        <f aca="true" t="shared" si="35" ref="P153:P159">C153+D153</f>
        <v>10806</v>
      </c>
      <c r="Q153" s="89">
        <v>2302</v>
      </c>
      <c r="R153" s="89">
        <f t="shared" si="28"/>
        <v>8504</v>
      </c>
      <c r="S153" s="145">
        <f t="shared" si="29"/>
        <v>5</v>
      </c>
    </row>
    <row r="154" spans="1:19" ht="16.5" customHeight="1">
      <c r="A154" s="132" t="s">
        <v>537</v>
      </c>
      <c r="B154" s="133" t="s">
        <v>308</v>
      </c>
      <c r="C154" s="89">
        <v>8</v>
      </c>
      <c r="D154" s="89">
        <f t="shared" si="34"/>
        <v>78</v>
      </c>
      <c r="E154" s="134"/>
      <c r="F154" s="135"/>
      <c r="G154" s="134">
        <v>0</v>
      </c>
      <c r="H154" s="134"/>
      <c r="I154" s="134"/>
      <c r="J154" s="134">
        <v>78</v>
      </c>
      <c r="K154" s="89"/>
      <c r="L154" s="89"/>
      <c r="M154" s="89"/>
      <c r="N154" s="89"/>
      <c r="O154" s="89"/>
      <c r="P154" s="89">
        <f t="shared" si="35"/>
        <v>86</v>
      </c>
      <c r="Q154" s="89">
        <v>78</v>
      </c>
      <c r="R154" s="89">
        <f t="shared" si="28"/>
        <v>8</v>
      </c>
      <c r="S154" s="145">
        <f t="shared" si="29"/>
        <v>5</v>
      </c>
    </row>
    <row r="155" spans="1:19" ht="16.5" customHeight="1">
      <c r="A155" s="132" t="s">
        <v>538</v>
      </c>
      <c r="B155" s="133" t="s">
        <v>309</v>
      </c>
      <c r="C155" s="89">
        <v>0</v>
      </c>
      <c r="D155" s="89">
        <f t="shared" si="34"/>
        <v>0</v>
      </c>
      <c r="E155" s="134"/>
      <c r="F155" s="135"/>
      <c r="G155" s="134">
        <v>0</v>
      </c>
      <c r="H155" s="134"/>
      <c r="I155" s="134"/>
      <c r="J155" s="89"/>
      <c r="K155" s="89"/>
      <c r="L155" s="89"/>
      <c r="M155" s="89"/>
      <c r="N155" s="89"/>
      <c r="O155" s="89"/>
      <c r="P155" s="89">
        <f t="shared" si="35"/>
        <v>0</v>
      </c>
      <c r="Q155" s="89">
        <v>0</v>
      </c>
      <c r="R155" s="89">
        <f t="shared" si="28"/>
        <v>0</v>
      </c>
      <c r="S155" s="145">
        <f t="shared" si="29"/>
        <v>5</v>
      </c>
    </row>
    <row r="156" spans="1:19" ht="17.25" customHeight="1">
      <c r="A156" s="132" t="s">
        <v>539</v>
      </c>
      <c r="B156" s="133" t="s">
        <v>310</v>
      </c>
      <c r="C156" s="89">
        <v>0</v>
      </c>
      <c r="D156" s="89">
        <f t="shared" si="34"/>
        <v>0</v>
      </c>
      <c r="E156" s="134"/>
      <c r="F156" s="135"/>
      <c r="G156" s="134">
        <v>0</v>
      </c>
      <c r="H156" s="134">
        <v>0</v>
      </c>
      <c r="I156" s="134"/>
      <c r="J156" s="89"/>
      <c r="K156" s="89"/>
      <c r="L156" s="89"/>
      <c r="M156" s="89"/>
      <c r="N156" s="89"/>
      <c r="O156" s="89"/>
      <c r="P156" s="89">
        <f t="shared" si="35"/>
        <v>0</v>
      </c>
      <c r="Q156" s="89"/>
      <c r="R156" s="89">
        <f t="shared" si="28"/>
        <v>0</v>
      </c>
      <c r="S156" s="145">
        <f t="shared" si="29"/>
        <v>5</v>
      </c>
    </row>
    <row r="157" spans="1:19" ht="17.25" customHeight="1">
      <c r="A157" s="132" t="s">
        <v>540</v>
      </c>
      <c r="B157" s="133" t="s">
        <v>311</v>
      </c>
      <c r="C157" s="89">
        <v>0</v>
      </c>
      <c r="D157" s="89">
        <f t="shared" si="34"/>
        <v>0</v>
      </c>
      <c r="E157" s="134"/>
      <c r="F157" s="135"/>
      <c r="G157" s="134">
        <v>0</v>
      </c>
      <c r="H157" s="134">
        <v>0</v>
      </c>
      <c r="I157" s="134"/>
      <c r="J157" s="89"/>
      <c r="K157" s="89"/>
      <c r="L157" s="89"/>
      <c r="M157" s="89"/>
      <c r="N157" s="89"/>
      <c r="O157" s="89"/>
      <c r="P157" s="89">
        <f t="shared" si="35"/>
        <v>0</v>
      </c>
      <c r="Q157" s="89">
        <v>0</v>
      </c>
      <c r="R157" s="89">
        <f t="shared" si="28"/>
        <v>0</v>
      </c>
      <c r="S157" s="145">
        <f t="shared" si="29"/>
        <v>5</v>
      </c>
    </row>
    <row r="158" spans="1:19" ht="16.5" customHeight="1">
      <c r="A158" s="132" t="s">
        <v>541</v>
      </c>
      <c r="B158" s="133" t="s">
        <v>312</v>
      </c>
      <c r="C158" s="89">
        <v>1281</v>
      </c>
      <c r="D158" s="89">
        <f t="shared" si="34"/>
        <v>-362</v>
      </c>
      <c r="E158" s="134"/>
      <c r="F158" s="135">
        <v>-312</v>
      </c>
      <c r="G158" s="134">
        <v>0</v>
      </c>
      <c r="H158" s="134">
        <v>0</v>
      </c>
      <c r="I158" s="134"/>
      <c r="J158" s="89"/>
      <c r="K158" s="89"/>
      <c r="L158" s="89"/>
      <c r="M158" s="89"/>
      <c r="N158" s="89"/>
      <c r="O158" s="89">
        <v>-50</v>
      </c>
      <c r="P158" s="89">
        <f t="shared" si="35"/>
        <v>919</v>
      </c>
      <c r="Q158" s="89">
        <v>134</v>
      </c>
      <c r="R158" s="89">
        <f t="shared" si="28"/>
        <v>785</v>
      </c>
      <c r="S158" s="145">
        <f t="shared" si="29"/>
        <v>5</v>
      </c>
    </row>
    <row r="159" spans="1:19" ht="17.25" customHeight="1">
      <c r="A159" s="132" t="s">
        <v>542</v>
      </c>
      <c r="B159" s="133" t="s">
        <v>313</v>
      </c>
      <c r="C159" s="89">
        <v>0</v>
      </c>
      <c r="D159" s="89">
        <f t="shared" si="34"/>
        <v>429</v>
      </c>
      <c r="E159" s="134"/>
      <c r="F159" s="135">
        <v>429</v>
      </c>
      <c r="G159" s="134">
        <v>0</v>
      </c>
      <c r="H159" s="134">
        <v>0</v>
      </c>
      <c r="I159" s="134"/>
      <c r="J159" s="89"/>
      <c r="K159" s="89"/>
      <c r="L159" s="89"/>
      <c r="M159" s="89"/>
      <c r="N159" s="89"/>
      <c r="O159" s="89"/>
      <c r="P159" s="89">
        <f t="shared" si="35"/>
        <v>429</v>
      </c>
      <c r="Q159" s="89">
        <v>0</v>
      </c>
      <c r="R159" s="89">
        <f t="shared" si="28"/>
        <v>429</v>
      </c>
      <c r="S159" s="145">
        <f t="shared" si="29"/>
        <v>5</v>
      </c>
    </row>
    <row r="160" spans="1:19" s="107" customFormat="1" ht="16.5" customHeight="1">
      <c r="A160" s="127" t="s">
        <v>543</v>
      </c>
      <c r="B160" s="128" t="s">
        <v>314</v>
      </c>
      <c r="C160" s="129">
        <f>SUM(C161:C167)</f>
        <v>1248</v>
      </c>
      <c r="D160" s="129">
        <f aca="true" t="shared" si="36" ref="D160:Q160">SUM(D161:D163,D164:D167)</f>
        <v>1264</v>
      </c>
      <c r="E160" s="130">
        <f t="shared" si="36"/>
        <v>60</v>
      </c>
      <c r="F160" s="131">
        <f t="shared" si="36"/>
        <v>0</v>
      </c>
      <c r="G160" s="130">
        <f t="shared" si="36"/>
        <v>0</v>
      </c>
      <c r="H160" s="130">
        <f t="shared" si="36"/>
        <v>0</v>
      </c>
      <c r="I160" s="130">
        <f t="shared" si="36"/>
        <v>0</v>
      </c>
      <c r="J160" s="129">
        <f t="shared" si="36"/>
        <v>0</v>
      </c>
      <c r="K160" s="129">
        <f t="shared" si="36"/>
        <v>0</v>
      </c>
      <c r="L160" s="129">
        <f t="shared" si="36"/>
        <v>1200</v>
      </c>
      <c r="M160" s="129">
        <f t="shared" si="36"/>
        <v>0</v>
      </c>
      <c r="N160" s="129">
        <f t="shared" si="36"/>
        <v>4</v>
      </c>
      <c r="O160" s="129">
        <f t="shared" si="36"/>
        <v>0</v>
      </c>
      <c r="P160" s="129">
        <f t="shared" si="36"/>
        <v>2512</v>
      </c>
      <c r="Q160" s="129">
        <f t="shared" si="36"/>
        <v>529</v>
      </c>
      <c r="R160" s="129">
        <f t="shared" si="28"/>
        <v>1983</v>
      </c>
      <c r="S160" s="146">
        <f t="shared" si="29"/>
        <v>3</v>
      </c>
    </row>
    <row r="161" spans="1:19" ht="16.5" customHeight="1">
      <c r="A161" s="132" t="s">
        <v>544</v>
      </c>
      <c r="B161" s="133" t="s">
        <v>315</v>
      </c>
      <c r="C161" s="89">
        <v>778</v>
      </c>
      <c r="D161" s="89">
        <f aca="true" t="shared" si="37" ref="D161:D167">SUM(E161:O161)</f>
        <v>0</v>
      </c>
      <c r="E161" s="134"/>
      <c r="F161" s="135"/>
      <c r="G161" s="134"/>
      <c r="H161" s="134">
        <v>0</v>
      </c>
      <c r="I161" s="134"/>
      <c r="J161" s="89"/>
      <c r="K161" s="89"/>
      <c r="L161" s="89"/>
      <c r="M161" s="89"/>
      <c r="N161" s="89"/>
      <c r="O161" s="89"/>
      <c r="P161" s="89">
        <f aca="true" t="shared" si="38" ref="P161:P167">C161+D161</f>
        <v>778</v>
      </c>
      <c r="Q161" s="89"/>
      <c r="R161" s="89">
        <f t="shared" si="28"/>
        <v>778</v>
      </c>
      <c r="S161" s="145">
        <f t="shared" si="29"/>
        <v>5</v>
      </c>
    </row>
    <row r="162" spans="1:19" ht="16.5" customHeight="1">
      <c r="A162" s="132" t="s">
        <v>545</v>
      </c>
      <c r="B162" s="133" t="s">
        <v>316</v>
      </c>
      <c r="C162" s="89">
        <v>0</v>
      </c>
      <c r="D162" s="89">
        <f t="shared" si="37"/>
        <v>0</v>
      </c>
      <c r="E162" s="134"/>
      <c r="F162" s="135"/>
      <c r="G162" s="134"/>
      <c r="H162" s="134"/>
      <c r="I162" s="134"/>
      <c r="J162" s="89"/>
      <c r="K162" s="89"/>
      <c r="L162" s="89"/>
      <c r="M162" s="89"/>
      <c r="N162" s="89"/>
      <c r="O162" s="89"/>
      <c r="P162" s="89">
        <f t="shared" si="38"/>
        <v>0</v>
      </c>
      <c r="Q162" s="89"/>
      <c r="R162" s="89">
        <f t="shared" si="28"/>
        <v>0</v>
      </c>
      <c r="S162" s="145">
        <f t="shared" si="29"/>
        <v>5</v>
      </c>
    </row>
    <row r="163" spans="1:19" ht="16.5" customHeight="1">
      <c r="A163" s="132" t="s">
        <v>546</v>
      </c>
      <c r="B163" s="133" t="s">
        <v>317</v>
      </c>
      <c r="C163" s="89">
        <v>0</v>
      </c>
      <c r="D163" s="89">
        <f t="shared" si="37"/>
        <v>0</v>
      </c>
      <c r="E163" s="134"/>
      <c r="F163" s="135"/>
      <c r="G163" s="134"/>
      <c r="H163" s="134"/>
      <c r="I163" s="134"/>
      <c r="J163" s="89"/>
      <c r="K163" s="89"/>
      <c r="L163" s="89"/>
      <c r="M163" s="89"/>
      <c r="N163" s="89"/>
      <c r="O163" s="89"/>
      <c r="P163" s="89">
        <f t="shared" si="38"/>
        <v>0</v>
      </c>
      <c r="Q163" s="89"/>
      <c r="R163" s="89">
        <f t="shared" si="28"/>
        <v>0</v>
      </c>
      <c r="S163" s="145">
        <f t="shared" si="29"/>
        <v>5</v>
      </c>
    </row>
    <row r="164" spans="1:19" ht="16.5" customHeight="1">
      <c r="A164" s="132" t="s">
        <v>547</v>
      </c>
      <c r="B164" s="133" t="s">
        <v>318</v>
      </c>
      <c r="C164" s="89">
        <v>0</v>
      </c>
      <c r="D164" s="89">
        <f t="shared" si="37"/>
        <v>109</v>
      </c>
      <c r="E164" s="134"/>
      <c r="F164" s="135"/>
      <c r="G164" s="134"/>
      <c r="H164" s="134"/>
      <c r="I164" s="134"/>
      <c r="J164" s="134">
        <v>109</v>
      </c>
      <c r="K164" s="89"/>
      <c r="L164" s="89"/>
      <c r="M164" s="89"/>
      <c r="N164" s="89"/>
      <c r="O164" s="89"/>
      <c r="P164" s="89">
        <f t="shared" si="38"/>
        <v>109</v>
      </c>
      <c r="Q164" s="89">
        <v>109</v>
      </c>
      <c r="R164" s="89">
        <f t="shared" si="28"/>
        <v>0</v>
      </c>
      <c r="S164" s="145">
        <f t="shared" si="29"/>
        <v>5</v>
      </c>
    </row>
    <row r="165" spans="1:19" ht="16.5" customHeight="1">
      <c r="A165" s="132" t="s">
        <v>548</v>
      </c>
      <c r="B165" s="133" t="s">
        <v>319</v>
      </c>
      <c r="C165" s="89">
        <v>2</v>
      </c>
      <c r="D165" s="89">
        <f t="shared" si="37"/>
        <v>1</v>
      </c>
      <c r="E165" s="134"/>
      <c r="F165" s="135"/>
      <c r="G165" s="134"/>
      <c r="H165" s="134"/>
      <c r="I165" s="134"/>
      <c r="J165" s="134"/>
      <c r="K165" s="89"/>
      <c r="L165" s="89"/>
      <c r="M165" s="89"/>
      <c r="N165" s="89">
        <v>1</v>
      </c>
      <c r="O165" s="89"/>
      <c r="P165" s="89">
        <f t="shared" si="38"/>
        <v>3</v>
      </c>
      <c r="Q165" s="89">
        <v>1</v>
      </c>
      <c r="R165" s="89">
        <f t="shared" si="28"/>
        <v>2</v>
      </c>
      <c r="S165" s="145">
        <f t="shared" si="29"/>
        <v>5</v>
      </c>
    </row>
    <row r="166" spans="1:19" ht="16.5" customHeight="1">
      <c r="A166" s="132" t="s">
        <v>549</v>
      </c>
      <c r="B166" s="133" t="s">
        <v>320</v>
      </c>
      <c r="C166" s="89">
        <v>75</v>
      </c>
      <c r="D166" s="89">
        <f t="shared" si="37"/>
        <v>284</v>
      </c>
      <c r="E166" s="134"/>
      <c r="F166" s="135"/>
      <c r="G166" s="134"/>
      <c r="H166" s="134"/>
      <c r="I166" s="134"/>
      <c r="J166" s="134">
        <v>281</v>
      </c>
      <c r="K166" s="89"/>
      <c r="L166" s="89"/>
      <c r="M166" s="89"/>
      <c r="N166" s="89">
        <v>3</v>
      </c>
      <c r="O166" s="89"/>
      <c r="P166" s="89">
        <f t="shared" si="38"/>
        <v>359</v>
      </c>
      <c r="Q166" s="89">
        <v>359</v>
      </c>
      <c r="R166" s="89">
        <f t="shared" si="28"/>
        <v>0</v>
      </c>
      <c r="S166" s="145">
        <f t="shared" si="29"/>
        <v>5</v>
      </c>
    </row>
    <row r="167" spans="1:19" ht="16.5" customHeight="1">
      <c r="A167" s="132" t="s">
        <v>550</v>
      </c>
      <c r="B167" s="133" t="s">
        <v>321</v>
      </c>
      <c r="C167" s="89">
        <v>393</v>
      </c>
      <c r="D167" s="89">
        <f t="shared" si="37"/>
        <v>870</v>
      </c>
      <c r="E167" s="134">
        <v>60</v>
      </c>
      <c r="F167" s="135"/>
      <c r="G167" s="134"/>
      <c r="H167" s="134"/>
      <c r="I167" s="134"/>
      <c r="J167" s="134">
        <v>-390</v>
      </c>
      <c r="K167" s="89"/>
      <c r="L167" s="89">
        <v>1200</v>
      </c>
      <c r="M167" s="89"/>
      <c r="N167" s="89"/>
      <c r="O167" s="89"/>
      <c r="P167" s="89">
        <f t="shared" si="38"/>
        <v>1263</v>
      </c>
      <c r="Q167" s="89">
        <v>60</v>
      </c>
      <c r="R167" s="89">
        <f t="shared" si="28"/>
        <v>1203</v>
      </c>
      <c r="S167" s="145">
        <f t="shared" si="29"/>
        <v>5</v>
      </c>
    </row>
    <row r="168" spans="1:19" s="107" customFormat="1" ht="16.5" customHeight="1">
      <c r="A168" s="127" t="s">
        <v>551</v>
      </c>
      <c r="B168" s="128" t="s">
        <v>322</v>
      </c>
      <c r="C168" s="129">
        <f>SUM(C169:C171)</f>
        <v>546</v>
      </c>
      <c r="D168" s="129">
        <f>SUM(D169:D171)</f>
        <v>185</v>
      </c>
      <c r="E168" s="130">
        <f aca="true" t="shared" si="39" ref="E168:Q168">SUM(E169:E171)</f>
        <v>0</v>
      </c>
      <c r="F168" s="131">
        <f t="shared" si="39"/>
        <v>0</v>
      </c>
      <c r="G168" s="130">
        <f t="shared" si="39"/>
        <v>0</v>
      </c>
      <c r="H168" s="130">
        <f t="shared" si="39"/>
        <v>0</v>
      </c>
      <c r="I168" s="130">
        <f t="shared" si="39"/>
        <v>0</v>
      </c>
      <c r="J168" s="129">
        <f t="shared" si="39"/>
        <v>0</v>
      </c>
      <c r="K168" s="129">
        <f t="shared" si="39"/>
        <v>0</v>
      </c>
      <c r="L168" s="129">
        <f t="shared" si="39"/>
        <v>0</v>
      </c>
      <c r="M168" s="129">
        <f t="shared" si="39"/>
        <v>0</v>
      </c>
      <c r="N168" s="129">
        <f t="shared" si="39"/>
        <v>0</v>
      </c>
      <c r="O168" s="129">
        <f t="shared" si="39"/>
        <v>185</v>
      </c>
      <c r="P168" s="129">
        <f t="shared" si="39"/>
        <v>731</v>
      </c>
      <c r="Q168" s="129">
        <f t="shared" si="39"/>
        <v>132</v>
      </c>
      <c r="R168" s="129">
        <f t="shared" si="28"/>
        <v>599</v>
      </c>
      <c r="S168" s="146">
        <f t="shared" si="29"/>
        <v>3</v>
      </c>
    </row>
    <row r="169" spans="1:19" ht="16.5" customHeight="1">
      <c r="A169" s="132" t="s">
        <v>552</v>
      </c>
      <c r="B169" s="133" t="s">
        <v>323</v>
      </c>
      <c r="C169" s="89">
        <v>546</v>
      </c>
      <c r="D169" s="89">
        <f>SUM(E169:O169)</f>
        <v>185</v>
      </c>
      <c r="E169" s="134"/>
      <c r="F169" s="135">
        <v>0</v>
      </c>
      <c r="G169" s="134">
        <v>0</v>
      </c>
      <c r="H169" s="134">
        <v>0</v>
      </c>
      <c r="I169" s="134"/>
      <c r="J169" s="89"/>
      <c r="K169" s="89"/>
      <c r="L169" s="89"/>
      <c r="M169" s="89"/>
      <c r="N169" s="89"/>
      <c r="O169" s="89">
        <v>185</v>
      </c>
      <c r="P169" s="89">
        <f>C169+D169</f>
        <v>731</v>
      </c>
      <c r="Q169" s="89">
        <v>132</v>
      </c>
      <c r="R169" s="89">
        <f t="shared" si="28"/>
        <v>599</v>
      </c>
      <c r="S169" s="145">
        <f t="shared" si="29"/>
        <v>5</v>
      </c>
    </row>
    <row r="170" spans="1:19" ht="16.5" customHeight="1">
      <c r="A170" s="132" t="s">
        <v>553</v>
      </c>
      <c r="B170" s="133" t="s">
        <v>324</v>
      </c>
      <c r="C170" s="89">
        <v>0</v>
      </c>
      <c r="D170" s="89">
        <f>SUM(E170:O170)</f>
        <v>0</v>
      </c>
      <c r="E170" s="134">
        <v>0</v>
      </c>
      <c r="F170" s="135">
        <v>0</v>
      </c>
      <c r="G170" s="134">
        <v>0</v>
      </c>
      <c r="H170" s="134">
        <v>0</v>
      </c>
      <c r="I170" s="134"/>
      <c r="J170" s="89"/>
      <c r="K170" s="89"/>
      <c r="L170" s="89"/>
      <c r="M170" s="89"/>
      <c r="N170" s="89"/>
      <c r="O170" s="89"/>
      <c r="P170" s="89">
        <f>C170+D170</f>
        <v>0</v>
      </c>
      <c r="Q170" s="89">
        <v>0</v>
      </c>
      <c r="R170" s="89">
        <f t="shared" si="28"/>
        <v>0</v>
      </c>
      <c r="S170" s="145">
        <f t="shared" si="29"/>
        <v>5</v>
      </c>
    </row>
    <row r="171" spans="1:19" ht="16.5" customHeight="1">
      <c r="A171" s="132" t="s">
        <v>554</v>
      </c>
      <c r="B171" s="133" t="s">
        <v>325</v>
      </c>
      <c r="C171" s="89">
        <v>0</v>
      </c>
      <c r="D171" s="89">
        <f>SUM(E171:O171)</f>
        <v>0</v>
      </c>
      <c r="E171" s="134"/>
      <c r="F171" s="135">
        <v>0</v>
      </c>
      <c r="G171" s="134">
        <v>0</v>
      </c>
      <c r="H171" s="134">
        <v>0</v>
      </c>
      <c r="I171" s="134"/>
      <c r="J171" s="89"/>
      <c r="K171" s="89"/>
      <c r="L171" s="89"/>
      <c r="M171" s="89"/>
      <c r="N171" s="89"/>
      <c r="O171" s="89"/>
      <c r="P171" s="89">
        <f>C171+D171</f>
        <v>0</v>
      </c>
      <c r="Q171" s="89">
        <v>0</v>
      </c>
      <c r="R171" s="89">
        <f t="shared" si="28"/>
        <v>0</v>
      </c>
      <c r="S171" s="145">
        <f t="shared" si="29"/>
        <v>5</v>
      </c>
    </row>
    <row r="172" spans="1:19" s="107" customFormat="1" ht="16.5" customHeight="1">
      <c r="A172" s="127" t="s">
        <v>555</v>
      </c>
      <c r="B172" s="128" t="s">
        <v>326</v>
      </c>
      <c r="C172" s="129">
        <f>SUM(C173:C175)</f>
        <v>2067</v>
      </c>
      <c r="D172" s="129">
        <f>SUM(D173:D175)</f>
        <v>-503</v>
      </c>
      <c r="E172" s="130">
        <f aca="true" t="shared" si="40" ref="E172:Q172">SUM(E173:E175)</f>
        <v>527</v>
      </c>
      <c r="F172" s="131">
        <f t="shared" si="40"/>
        <v>0</v>
      </c>
      <c r="G172" s="130">
        <f t="shared" si="40"/>
        <v>0</v>
      </c>
      <c r="H172" s="130">
        <f t="shared" si="40"/>
        <v>0</v>
      </c>
      <c r="I172" s="130">
        <f t="shared" si="40"/>
        <v>0</v>
      </c>
      <c r="J172" s="129">
        <f t="shared" si="40"/>
        <v>0</v>
      </c>
      <c r="K172" s="129">
        <f t="shared" si="40"/>
        <v>0</v>
      </c>
      <c r="L172" s="129">
        <f t="shared" si="40"/>
        <v>0</v>
      </c>
      <c r="M172" s="129">
        <f t="shared" si="40"/>
        <v>0</v>
      </c>
      <c r="N172" s="129">
        <f t="shared" si="40"/>
        <v>-995</v>
      </c>
      <c r="O172" s="129">
        <f t="shared" si="40"/>
        <v>-35</v>
      </c>
      <c r="P172" s="129">
        <f t="shared" si="40"/>
        <v>1564</v>
      </c>
      <c r="Q172" s="129">
        <f t="shared" si="40"/>
        <v>842</v>
      </c>
      <c r="R172" s="129">
        <f t="shared" si="28"/>
        <v>722</v>
      </c>
      <c r="S172" s="146">
        <f t="shared" si="29"/>
        <v>3</v>
      </c>
    </row>
    <row r="173" spans="1:19" ht="16.5" customHeight="1">
      <c r="A173" s="132" t="s">
        <v>556</v>
      </c>
      <c r="B173" s="133" t="s">
        <v>327</v>
      </c>
      <c r="C173" s="89">
        <v>0</v>
      </c>
      <c r="D173" s="89">
        <f>SUM(E173:O173)</f>
        <v>0</v>
      </c>
      <c r="E173" s="134">
        <v>0</v>
      </c>
      <c r="F173" s="135">
        <v>0</v>
      </c>
      <c r="G173" s="134">
        <v>0</v>
      </c>
      <c r="H173" s="134">
        <v>0</v>
      </c>
      <c r="I173" s="134"/>
      <c r="J173" s="89"/>
      <c r="K173" s="89"/>
      <c r="L173" s="89"/>
      <c r="M173" s="89"/>
      <c r="N173" s="89"/>
      <c r="O173" s="89"/>
      <c r="P173" s="89">
        <f>C173+D173</f>
        <v>0</v>
      </c>
      <c r="Q173" s="89">
        <v>0</v>
      </c>
      <c r="R173" s="89">
        <f t="shared" si="28"/>
        <v>0</v>
      </c>
      <c r="S173" s="145">
        <f t="shared" si="29"/>
        <v>5</v>
      </c>
    </row>
    <row r="174" spans="1:19" ht="16.5" customHeight="1">
      <c r="A174" s="132" t="s">
        <v>557</v>
      </c>
      <c r="B174" s="133" t="s">
        <v>328</v>
      </c>
      <c r="C174" s="89">
        <v>2067</v>
      </c>
      <c r="D174" s="89">
        <f>SUM(E174:O174)</f>
        <v>-503</v>
      </c>
      <c r="E174" s="134">
        <v>527</v>
      </c>
      <c r="F174" s="135"/>
      <c r="G174" s="134">
        <v>0</v>
      </c>
      <c r="H174" s="134"/>
      <c r="I174" s="134"/>
      <c r="J174" s="89"/>
      <c r="K174" s="89"/>
      <c r="L174" s="89"/>
      <c r="M174" s="89"/>
      <c r="N174" s="89">
        <f>-1500+505</f>
        <v>-995</v>
      </c>
      <c r="O174" s="89">
        <v>-35</v>
      </c>
      <c r="P174" s="89">
        <f>C174+D174</f>
        <v>1564</v>
      </c>
      <c r="Q174" s="89">
        <v>842</v>
      </c>
      <c r="R174" s="89">
        <f t="shared" si="28"/>
        <v>722</v>
      </c>
      <c r="S174" s="145">
        <f t="shared" si="29"/>
        <v>5</v>
      </c>
    </row>
    <row r="175" spans="1:19" ht="16.5" customHeight="1">
      <c r="A175" s="132" t="s">
        <v>558</v>
      </c>
      <c r="B175" s="133" t="s">
        <v>329</v>
      </c>
      <c r="C175" s="89">
        <v>0</v>
      </c>
      <c r="D175" s="89">
        <f>SUM(E175:O175)</f>
        <v>0</v>
      </c>
      <c r="E175" s="134"/>
      <c r="F175" s="135"/>
      <c r="G175" s="134">
        <v>0</v>
      </c>
      <c r="H175" s="134">
        <v>0</v>
      </c>
      <c r="I175" s="134"/>
      <c r="J175" s="89"/>
      <c r="K175" s="89"/>
      <c r="L175" s="89"/>
      <c r="M175" s="89"/>
      <c r="N175" s="89"/>
      <c r="O175" s="89"/>
      <c r="P175" s="89">
        <f>C175+D175</f>
        <v>0</v>
      </c>
      <c r="Q175" s="89"/>
      <c r="R175" s="89">
        <f t="shared" si="28"/>
        <v>0</v>
      </c>
      <c r="S175" s="145">
        <f t="shared" si="29"/>
        <v>5</v>
      </c>
    </row>
    <row r="176" spans="1:19" s="107" customFormat="1" ht="16.5" customHeight="1">
      <c r="A176" s="127" t="s">
        <v>559</v>
      </c>
      <c r="B176" s="128" t="s">
        <v>330</v>
      </c>
      <c r="C176" s="129">
        <v>0</v>
      </c>
      <c r="D176" s="151">
        <f>SUM(D177:D185)</f>
        <v>0</v>
      </c>
      <c r="E176" s="130">
        <f aca="true" t="shared" si="41" ref="E176:P176">SUM(E177:E185)</f>
        <v>0</v>
      </c>
      <c r="F176" s="131">
        <f t="shared" si="41"/>
        <v>0</v>
      </c>
      <c r="G176" s="130">
        <f t="shared" si="41"/>
        <v>0</v>
      </c>
      <c r="H176" s="130">
        <f t="shared" si="41"/>
        <v>0</v>
      </c>
      <c r="I176" s="130">
        <f t="shared" si="41"/>
        <v>0</v>
      </c>
      <c r="J176" s="129">
        <f t="shared" si="41"/>
        <v>0</v>
      </c>
      <c r="K176" s="129">
        <f t="shared" si="41"/>
        <v>0</v>
      </c>
      <c r="L176" s="129">
        <f t="shared" si="41"/>
        <v>0</v>
      </c>
      <c r="M176" s="129">
        <f t="shared" si="41"/>
        <v>0</v>
      </c>
      <c r="N176" s="129">
        <f t="shared" si="41"/>
        <v>0</v>
      </c>
      <c r="O176" s="129">
        <f t="shared" si="41"/>
        <v>0</v>
      </c>
      <c r="P176" s="129">
        <f t="shared" si="41"/>
        <v>0</v>
      </c>
      <c r="Q176" s="129">
        <v>0</v>
      </c>
      <c r="R176" s="129">
        <f t="shared" si="28"/>
        <v>0</v>
      </c>
      <c r="S176" s="146">
        <f t="shared" si="29"/>
        <v>3</v>
      </c>
    </row>
    <row r="177" spans="1:19" ht="16.5" customHeight="1">
      <c r="A177" s="132" t="s">
        <v>560</v>
      </c>
      <c r="B177" s="133" t="s">
        <v>112</v>
      </c>
      <c r="C177" s="89">
        <v>0</v>
      </c>
      <c r="D177" s="89">
        <f aca="true" t="shared" si="42" ref="D177:D185">SUM(E177:O177)</f>
        <v>0</v>
      </c>
      <c r="E177" s="134">
        <v>0</v>
      </c>
      <c r="F177" s="135">
        <v>0</v>
      </c>
      <c r="G177" s="134">
        <v>0</v>
      </c>
      <c r="H177" s="134">
        <v>0</v>
      </c>
      <c r="I177" s="134"/>
      <c r="J177" s="89"/>
      <c r="K177" s="89"/>
      <c r="L177" s="89"/>
      <c r="M177" s="89"/>
      <c r="N177" s="89"/>
      <c r="O177" s="89"/>
      <c r="P177" s="89">
        <f aca="true" t="shared" si="43" ref="P177:P185">C177+D177</f>
        <v>0</v>
      </c>
      <c r="Q177" s="89">
        <v>0</v>
      </c>
      <c r="R177" s="89">
        <f t="shared" si="28"/>
        <v>0</v>
      </c>
      <c r="S177" s="145">
        <f t="shared" si="29"/>
        <v>5</v>
      </c>
    </row>
    <row r="178" spans="1:19" ht="16.5" customHeight="1">
      <c r="A178" s="132" t="s">
        <v>561</v>
      </c>
      <c r="B178" s="133" t="s">
        <v>116</v>
      </c>
      <c r="C178" s="89">
        <v>0</v>
      </c>
      <c r="D178" s="89">
        <f t="shared" si="42"/>
        <v>0</v>
      </c>
      <c r="E178" s="134">
        <v>0</v>
      </c>
      <c r="F178" s="135">
        <v>0</v>
      </c>
      <c r="G178" s="134">
        <v>0</v>
      </c>
      <c r="H178" s="134">
        <v>0</v>
      </c>
      <c r="I178" s="134"/>
      <c r="J178" s="89"/>
      <c r="K178" s="89"/>
      <c r="L178" s="89"/>
      <c r="M178" s="89"/>
      <c r="N178" s="89"/>
      <c r="O178" s="89"/>
      <c r="P178" s="89">
        <f t="shared" si="43"/>
        <v>0</v>
      </c>
      <c r="Q178" s="89">
        <v>0</v>
      </c>
      <c r="R178" s="89">
        <f t="shared" si="28"/>
        <v>0</v>
      </c>
      <c r="S178" s="145">
        <f t="shared" si="29"/>
        <v>5</v>
      </c>
    </row>
    <row r="179" spans="1:19" ht="16.5" customHeight="1">
      <c r="A179" s="132" t="s">
        <v>562</v>
      </c>
      <c r="B179" s="133" t="s">
        <v>119</v>
      </c>
      <c r="C179" s="89">
        <v>0</v>
      </c>
      <c r="D179" s="89">
        <f t="shared" si="42"/>
        <v>0</v>
      </c>
      <c r="E179" s="134">
        <v>0</v>
      </c>
      <c r="F179" s="135">
        <v>0</v>
      </c>
      <c r="G179" s="134">
        <v>0</v>
      </c>
      <c r="H179" s="134">
        <v>0</v>
      </c>
      <c r="I179" s="134"/>
      <c r="J179" s="89"/>
      <c r="K179" s="89"/>
      <c r="L179" s="89"/>
      <c r="M179" s="89"/>
      <c r="N179" s="89"/>
      <c r="O179" s="89"/>
      <c r="P179" s="89">
        <f t="shared" si="43"/>
        <v>0</v>
      </c>
      <c r="Q179" s="89">
        <v>0</v>
      </c>
      <c r="R179" s="89">
        <f t="shared" si="28"/>
        <v>0</v>
      </c>
      <c r="S179" s="145">
        <f t="shared" si="29"/>
        <v>5</v>
      </c>
    </row>
    <row r="180" spans="1:19" ht="16.5" customHeight="1">
      <c r="A180" s="132" t="s">
        <v>563</v>
      </c>
      <c r="B180" s="133" t="s">
        <v>122</v>
      </c>
      <c r="C180" s="89">
        <v>0</v>
      </c>
      <c r="D180" s="89">
        <f t="shared" si="42"/>
        <v>0</v>
      </c>
      <c r="E180" s="134">
        <v>0</v>
      </c>
      <c r="F180" s="135">
        <v>0</v>
      </c>
      <c r="G180" s="134">
        <v>0</v>
      </c>
      <c r="H180" s="134">
        <v>0</v>
      </c>
      <c r="I180" s="134"/>
      <c r="J180" s="89"/>
      <c r="K180" s="89"/>
      <c r="L180" s="89"/>
      <c r="M180" s="89"/>
      <c r="N180" s="89"/>
      <c r="O180" s="89"/>
      <c r="P180" s="89">
        <f t="shared" si="43"/>
        <v>0</v>
      </c>
      <c r="Q180" s="89">
        <v>0</v>
      </c>
      <c r="R180" s="89">
        <f t="shared" si="28"/>
        <v>0</v>
      </c>
      <c r="S180" s="145">
        <f t="shared" si="29"/>
        <v>5</v>
      </c>
    </row>
    <row r="181" spans="1:19" ht="16.5" customHeight="1">
      <c r="A181" s="132" t="s">
        <v>564</v>
      </c>
      <c r="B181" s="133" t="s">
        <v>123</v>
      </c>
      <c r="C181" s="89">
        <v>0</v>
      </c>
      <c r="D181" s="89">
        <f t="shared" si="42"/>
        <v>0</v>
      </c>
      <c r="E181" s="134">
        <v>0</v>
      </c>
      <c r="F181" s="135">
        <v>0</v>
      </c>
      <c r="G181" s="134">
        <v>0</v>
      </c>
      <c r="H181" s="134">
        <v>0</v>
      </c>
      <c r="I181" s="134"/>
      <c r="J181" s="89"/>
      <c r="K181" s="89"/>
      <c r="L181" s="89"/>
      <c r="M181" s="89"/>
      <c r="N181" s="89"/>
      <c r="O181" s="89"/>
      <c r="P181" s="89">
        <f t="shared" si="43"/>
        <v>0</v>
      </c>
      <c r="Q181" s="89">
        <v>0</v>
      </c>
      <c r="R181" s="89">
        <f t="shared" si="28"/>
        <v>0</v>
      </c>
      <c r="S181" s="145">
        <f t="shared" si="29"/>
        <v>5</v>
      </c>
    </row>
    <row r="182" spans="1:19" ht="16.5" customHeight="1">
      <c r="A182" s="132" t="s">
        <v>565</v>
      </c>
      <c r="B182" s="133" t="s">
        <v>296</v>
      </c>
      <c r="C182" s="89">
        <v>0</v>
      </c>
      <c r="D182" s="89">
        <f t="shared" si="42"/>
        <v>0</v>
      </c>
      <c r="E182" s="134">
        <v>0</v>
      </c>
      <c r="F182" s="135">
        <v>0</v>
      </c>
      <c r="G182" s="134">
        <v>0</v>
      </c>
      <c r="H182" s="134">
        <v>0</v>
      </c>
      <c r="I182" s="134"/>
      <c r="J182" s="89"/>
      <c r="K182" s="89"/>
      <c r="L182" s="89"/>
      <c r="M182" s="89"/>
      <c r="N182" s="89"/>
      <c r="O182" s="89"/>
      <c r="P182" s="89">
        <f t="shared" si="43"/>
        <v>0</v>
      </c>
      <c r="Q182" s="89">
        <v>0</v>
      </c>
      <c r="R182" s="89">
        <f t="shared" si="28"/>
        <v>0</v>
      </c>
      <c r="S182" s="145">
        <f t="shared" si="29"/>
        <v>5</v>
      </c>
    </row>
    <row r="183" spans="1:19" ht="16.5" customHeight="1">
      <c r="A183" s="132" t="s">
        <v>566</v>
      </c>
      <c r="B183" s="133" t="s">
        <v>126</v>
      </c>
      <c r="C183" s="89">
        <v>0</v>
      </c>
      <c r="D183" s="89">
        <f t="shared" si="42"/>
        <v>0</v>
      </c>
      <c r="E183" s="134">
        <v>0</v>
      </c>
      <c r="F183" s="135">
        <v>0</v>
      </c>
      <c r="G183" s="134">
        <v>0</v>
      </c>
      <c r="H183" s="134">
        <v>0</v>
      </c>
      <c r="I183" s="134"/>
      <c r="J183" s="89"/>
      <c r="K183" s="89"/>
      <c r="L183" s="89"/>
      <c r="M183" s="89"/>
      <c r="N183" s="89"/>
      <c r="O183" s="89"/>
      <c r="P183" s="89">
        <f t="shared" si="43"/>
        <v>0</v>
      </c>
      <c r="Q183" s="89">
        <v>0</v>
      </c>
      <c r="R183" s="89">
        <f t="shared" si="28"/>
        <v>0</v>
      </c>
      <c r="S183" s="145">
        <f t="shared" si="29"/>
        <v>5</v>
      </c>
    </row>
    <row r="184" spans="1:19" ht="16.5" customHeight="1">
      <c r="A184" s="132" t="s">
        <v>567</v>
      </c>
      <c r="B184" s="133" t="s">
        <v>132</v>
      </c>
      <c r="C184" s="89">
        <v>0</v>
      </c>
      <c r="D184" s="89">
        <f t="shared" si="42"/>
        <v>0</v>
      </c>
      <c r="E184" s="134">
        <v>0</v>
      </c>
      <c r="F184" s="135">
        <v>0</v>
      </c>
      <c r="G184" s="134">
        <v>0</v>
      </c>
      <c r="H184" s="134">
        <v>0</v>
      </c>
      <c r="I184" s="134"/>
      <c r="J184" s="89"/>
      <c r="K184" s="89"/>
      <c r="L184" s="89"/>
      <c r="M184" s="89"/>
      <c r="N184" s="89"/>
      <c r="O184" s="89"/>
      <c r="P184" s="89">
        <f t="shared" si="43"/>
        <v>0</v>
      </c>
      <c r="Q184" s="89">
        <v>0</v>
      </c>
      <c r="R184" s="89">
        <f t="shared" si="28"/>
        <v>0</v>
      </c>
      <c r="S184" s="145">
        <f t="shared" si="29"/>
        <v>5</v>
      </c>
    </row>
    <row r="185" spans="1:19" ht="16.5" customHeight="1">
      <c r="A185" s="132" t="s">
        <v>568</v>
      </c>
      <c r="B185" s="133" t="s">
        <v>135</v>
      </c>
      <c r="C185" s="89">
        <v>0</v>
      </c>
      <c r="D185" s="89">
        <f t="shared" si="42"/>
        <v>0</v>
      </c>
      <c r="E185" s="134">
        <v>0</v>
      </c>
      <c r="F185" s="135">
        <v>0</v>
      </c>
      <c r="G185" s="134">
        <v>0</v>
      </c>
      <c r="H185" s="134">
        <v>0</v>
      </c>
      <c r="I185" s="134"/>
      <c r="J185" s="89"/>
      <c r="K185" s="89"/>
      <c r="L185" s="89"/>
      <c r="M185" s="89"/>
      <c r="N185" s="89"/>
      <c r="O185" s="89"/>
      <c r="P185" s="89">
        <f t="shared" si="43"/>
        <v>0</v>
      </c>
      <c r="Q185" s="89">
        <v>0</v>
      </c>
      <c r="R185" s="89">
        <f t="shared" si="28"/>
        <v>0</v>
      </c>
      <c r="S185" s="145">
        <f t="shared" si="29"/>
        <v>5</v>
      </c>
    </row>
    <row r="186" spans="1:19" s="107" customFormat="1" ht="16.5" customHeight="1">
      <c r="A186" s="127" t="s">
        <v>569</v>
      </c>
      <c r="B186" s="128" t="s">
        <v>331</v>
      </c>
      <c r="C186" s="129">
        <f>SUM(C187:C191)</f>
        <v>1095</v>
      </c>
      <c r="D186" s="129">
        <f aca="true" t="shared" si="44" ref="D186:Q186">SUM(D187,D188,D189:D191)</f>
        <v>861</v>
      </c>
      <c r="E186" s="130">
        <f t="shared" si="44"/>
        <v>250</v>
      </c>
      <c r="F186" s="131">
        <f t="shared" si="44"/>
        <v>0</v>
      </c>
      <c r="G186" s="130">
        <f t="shared" si="44"/>
        <v>495</v>
      </c>
      <c r="H186" s="130">
        <f t="shared" si="44"/>
        <v>0</v>
      </c>
      <c r="I186" s="130">
        <f t="shared" si="44"/>
        <v>0</v>
      </c>
      <c r="J186" s="129">
        <f t="shared" si="44"/>
        <v>0</v>
      </c>
      <c r="K186" s="129">
        <f t="shared" si="44"/>
        <v>0</v>
      </c>
      <c r="L186" s="129">
        <f t="shared" si="44"/>
        <v>69</v>
      </c>
      <c r="M186" s="129">
        <f t="shared" si="44"/>
        <v>0</v>
      </c>
      <c r="N186" s="129">
        <f t="shared" si="44"/>
        <v>47</v>
      </c>
      <c r="O186" s="129">
        <f t="shared" si="44"/>
        <v>0</v>
      </c>
      <c r="P186" s="129">
        <f t="shared" si="44"/>
        <v>1956</v>
      </c>
      <c r="Q186" s="129">
        <f t="shared" si="44"/>
        <v>1138</v>
      </c>
      <c r="R186" s="129">
        <f t="shared" si="28"/>
        <v>818</v>
      </c>
      <c r="S186" s="146">
        <f t="shared" si="29"/>
        <v>3</v>
      </c>
    </row>
    <row r="187" spans="1:19" ht="16.5" customHeight="1">
      <c r="A187" s="132" t="s">
        <v>570</v>
      </c>
      <c r="B187" s="133" t="s">
        <v>332</v>
      </c>
      <c r="C187" s="89">
        <v>944</v>
      </c>
      <c r="D187" s="89">
        <f>SUM(E187:O187)</f>
        <v>853</v>
      </c>
      <c r="E187" s="134">
        <v>250</v>
      </c>
      <c r="F187" s="135"/>
      <c r="G187" s="134">
        <v>495</v>
      </c>
      <c r="H187" s="134"/>
      <c r="I187" s="134"/>
      <c r="J187" s="89"/>
      <c r="K187" s="89"/>
      <c r="L187" s="89">
        <v>69</v>
      </c>
      <c r="M187" s="89"/>
      <c r="N187" s="89">
        <v>39</v>
      </c>
      <c r="O187" s="89"/>
      <c r="P187" s="89">
        <f>C187+D187</f>
        <v>1797</v>
      </c>
      <c r="Q187" s="89">
        <v>1070</v>
      </c>
      <c r="R187" s="89">
        <f t="shared" si="28"/>
        <v>727</v>
      </c>
      <c r="S187" s="145">
        <f t="shared" si="29"/>
        <v>5</v>
      </c>
    </row>
    <row r="188" spans="1:19" ht="16.5" customHeight="1">
      <c r="A188" s="132" t="s">
        <v>571</v>
      </c>
      <c r="B188" s="133" t="s">
        <v>333</v>
      </c>
      <c r="C188" s="89">
        <v>0</v>
      </c>
      <c r="D188" s="89">
        <f>SUM(E188:O188)</f>
        <v>0</v>
      </c>
      <c r="E188" s="134"/>
      <c r="F188" s="135"/>
      <c r="G188" s="134"/>
      <c r="H188" s="134"/>
      <c r="I188" s="134"/>
      <c r="J188" s="89"/>
      <c r="K188" s="89"/>
      <c r="L188" s="89"/>
      <c r="M188" s="89"/>
      <c r="N188" s="89"/>
      <c r="O188" s="89"/>
      <c r="P188" s="89">
        <f>C188+D188</f>
        <v>0</v>
      </c>
      <c r="Q188" s="89"/>
      <c r="R188" s="89">
        <f t="shared" si="28"/>
        <v>0</v>
      </c>
      <c r="S188" s="145">
        <f t="shared" si="29"/>
        <v>5</v>
      </c>
    </row>
    <row r="189" spans="1:19" ht="16.5" customHeight="1">
      <c r="A189" s="132" t="s">
        <v>572</v>
      </c>
      <c r="B189" s="133" t="s">
        <v>334</v>
      </c>
      <c r="C189" s="89">
        <v>0</v>
      </c>
      <c r="D189" s="89">
        <f>SUM(E189:O189)</f>
        <v>0</v>
      </c>
      <c r="E189" s="134"/>
      <c r="F189" s="135"/>
      <c r="G189" s="134"/>
      <c r="H189" s="134"/>
      <c r="I189" s="134"/>
      <c r="J189" s="89"/>
      <c r="K189" s="89"/>
      <c r="L189" s="89"/>
      <c r="M189" s="89"/>
      <c r="N189" s="89"/>
      <c r="O189" s="89"/>
      <c r="P189" s="89">
        <f>C189+D189</f>
        <v>0</v>
      </c>
      <c r="Q189" s="89"/>
      <c r="R189" s="89">
        <f t="shared" si="28"/>
        <v>0</v>
      </c>
      <c r="S189" s="145">
        <f t="shared" si="29"/>
        <v>5</v>
      </c>
    </row>
    <row r="190" spans="1:19" ht="16.5" customHeight="1">
      <c r="A190" s="132" t="s">
        <v>573</v>
      </c>
      <c r="B190" s="133" t="s">
        <v>335</v>
      </c>
      <c r="C190" s="89">
        <v>151</v>
      </c>
      <c r="D190" s="89">
        <f>SUM(E190:O190)</f>
        <v>8</v>
      </c>
      <c r="E190" s="134"/>
      <c r="F190" s="135"/>
      <c r="G190" s="134"/>
      <c r="H190" s="134"/>
      <c r="I190" s="134"/>
      <c r="J190" s="89"/>
      <c r="K190" s="89"/>
      <c r="L190" s="89"/>
      <c r="M190" s="89"/>
      <c r="N190" s="89">
        <v>8</v>
      </c>
      <c r="O190" s="89"/>
      <c r="P190" s="89">
        <f>C190+D190</f>
        <v>159</v>
      </c>
      <c r="Q190" s="89">
        <v>68</v>
      </c>
      <c r="R190" s="89">
        <f t="shared" si="28"/>
        <v>91</v>
      </c>
      <c r="S190" s="145">
        <f t="shared" si="29"/>
        <v>5</v>
      </c>
    </row>
    <row r="191" spans="1:19" ht="16.5" customHeight="1">
      <c r="A191" s="132" t="s">
        <v>574</v>
      </c>
      <c r="B191" s="133" t="s">
        <v>336</v>
      </c>
      <c r="C191" s="89">
        <v>0</v>
      </c>
      <c r="D191" s="89">
        <f>SUM(E191:O191)</f>
        <v>0</v>
      </c>
      <c r="E191" s="134"/>
      <c r="F191" s="135"/>
      <c r="G191" s="134"/>
      <c r="H191" s="134"/>
      <c r="I191" s="134"/>
      <c r="J191" s="89"/>
      <c r="K191" s="89"/>
      <c r="L191" s="89"/>
      <c r="M191" s="89"/>
      <c r="N191" s="152"/>
      <c r="O191" s="89"/>
      <c r="P191" s="89">
        <f>C191+D191</f>
        <v>0</v>
      </c>
      <c r="Q191" s="89">
        <v>0</v>
      </c>
      <c r="R191" s="89">
        <f t="shared" si="28"/>
        <v>0</v>
      </c>
      <c r="S191" s="145">
        <f t="shared" si="29"/>
        <v>5</v>
      </c>
    </row>
    <row r="192" spans="1:19" s="107" customFormat="1" ht="16.5" customHeight="1">
      <c r="A192" s="127" t="s">
        <v>575</v>
      </c>
      <c r="B192" s="128" t="s">
        <v>337</v>
      </c>
      <c r="C192" s="139">
        <f>SUM(C193:C195)</f>
        <v>2997</v>
      </c>
      <c r="D192" s="129">
        <f>SUM(D193:D195)</f>
        <v>2504</v>
      </c>
      <c r="E192" s="130">
        <f aca="true" t="shared" si="45" ref="E192:Q192">SUM(E193:E195)</f>
        <v>100</v>
      </c>
      <c r="F192" s="131">
        <f t="shared" si="45"/>
        <v>404</v>
      </c>
      <c r="G192" s="130">
        <f t="shared" si="45"/>
        <v>0</v>
      </c>
      <c r="H192" s="130">
        <f t="shared" si="45"/>
        <v>0</v>
      </c>
      <c r="I192" s="130">
        <f t="shared" si="45"/>
        <v>0</v>
      </c>
      <c r="J192" s="129">
        <f t="shared" si="45"/>
        <v>2000</v>
      </c>
      <c r="K192" s="129">
        <f t="shared" si="45"/>
        <v>0</v>
      </c>
      <c r="L192" s="129">
        <f t="shared" si="45"/>
        <v>0</v>
      </c>
      <c r="M192" s="129">
        <f t="shared" si="45"/>
        <v>0</v>
      </c>
      <c r="N192" s="129">
        <f t="shared" si="45"/>
        <v>0</v>
      </c>
      <c r="O192" s="129">
        <f t="shared" si="45"/>
        <v>0</v>
      </c>
      <c r="P192" s="129">
        <f t="shared" si="45"/>
        <v>5501</v>
      </c>
      <c r="Q192" s="129">
        <f t="shared" si="45"/>
        <v>4931</v>
      </c>
      <c r="R192" s="129">
        <f t="shared" si="28"/>
        <v>570</v>
      </c>
      <c r="S192" s="146">
        <f t="shared" si="29"/>
        <v>3</v>
      </c>
    </row>
    <row r="193" spans="1:19" ht="16.5" customHeight="1">
      <c r="A193" s="132" t="s">
        <v>576</v>
      </c>
      <c r="B193" s="133" t="s">
        <v>338</v>
      </c>
      <c r="C193" s="89">
        <v>224</v>
      </c>
      <c r="D193" s="89">
        <f>SUM(E193:O193)</f>
        <v>504</v>
      </c>
      <c r="E193" s="134">
        <v>100</v>
      </c>
      <c r="F193" s="135">
        <v>404</v>
      </c>
      <c r="G193" s="134"/>
      <c r="H193" s="134"/>
      <c r="I193" s="134"/>
      <c r="J193" s="89"/>
      <c r="K193" s="89"/>
      <c r="L193" s="89"/>
      <c r="M193" s="89"/>
      <c r="N193" s="89"/>
      <c r="O193" s="89">
        <v>0</v>
      </c>
      <c r="P193" s="89">
        <f>C193+D193</f>
        <v>728</v>
      </c>
      <c r="Q193" s="89">
        <v>468</v>
      </c>
      <c r="R193" s="89">
        <f t="shared" si="28"/>
        <v>260</v>
      </c>
      <c r="S193" s="145">
        <f t="shared" si="29"/>
        <v>5</v>
      </c>
    </row>
    <row r="194" spans="1:19" ht="16.5" customHeight="1">
      <c r="A194" s="132" t="s">
        <v>577</v>
      </c>
      <c r="B194" s="133" t="s">
        <v>339</v>
      </c>
      <c r="C194" s="89">
        <v>2773</v>
      </c>
      <c r="D194" s="89">
        <f>SUM(E194:O194)</f>
        <v>2000</v>
      </c>
      <c r="E194" s="134"/>
      <c r="F194" s="135"/>
      <c r="G194" s="134"/>
      <c r="H194" s="134"/>
      <c r="I194" s="134"/>
      <c r="J194" s="89">
        <v>2000</v>
      </c>
      <c r="K194" s="89"/>
      <c r="L194" s="89"/>
      <c r="M194" s="89"/>
      <c r="N194" s="89"/>
      <c r="O194" s="89">
        <v>0</v>
      </c>
      <c r="P194" s="89">
        <f>C194+D194</f>
        <v>4773</v>
      </c>
      <c r="Q194" s="89">
        <v>4463</v>
      </c>
      <c r="R194" s="89">
        <f t="shared" si="28"/>
        <v>310</v>
      </c>
      <c r="S194" s="145">
        <f t="shared" si="29"/>
        <v>5</v>
      </c>
    </row>
    <row r="195" spans="1:19" ht="16.5" customHeight="1">
      <c r="A195" s="132" t="s">
        <v>578</v>
      </c>
      <c r="B195" s="133" t="s">
        <v>340</v>
      </c>
      <c r="C195" s="89">
        <v>0</v>
      </c>
      <c r="D195" s="89">
        <f>SUM(E195:O195)</f>
        <v>0</v>
      </c>
      <c r="E195" s="134">
        <v>0</v>
      </c>
      <c r="F195" s="135">
        <v>0</v>
      </c>
      <c r="G195" s="134">
        <v>0</v>
      </c>
      <c r="H195" s="134"/>
      <c r="I195" s="134"/>
      <c r="J195" s="89"/>
      <c r="K195" s="89"/>
      <c r="L195" s="89"/>
      <c r="M195" s="89"/>
      <c r="N195" s="89"/>
      <c r="O195" s="89">
        <v>0</v>
      </c>
      <c r="P195" s="89">
        <f>C195+D195</f>
        <v>0</v>
      </c>
      <c r="Q195" s="89"/>
      <c r="R195" s="89">
        <f t="shared" si="28"/>
        <v>0</v>
      </c>
      <c r="S195" s="145">
        <f t="shared" si="29"/>
        <v>5</v>
      </c>
    </row>
    <row r="196" spans="1:19" s="107" customFormat="1" ht="16.5" customHeight="1">
      <c r="A196" s="127" t="s">
        <v>579</v>
      </c>
      <c r="B196" s="128" t="s">
        <v>341</v>
      </c>
      <c r="C196" s="129">
        <f>SUM(C197:C201)</f>
        <v>126</v>
      </c>
      <c r="D196" s="129">
        <f>SUM(D197:D201)</f>
        <v>2</v>
      </c>
      <c r="E196" s="130">
        <f aca="true" t="shared" si="46" ref="E196:Q196">SUM(E197:E201)</f>
        <v>0</v>
      </c>
      <c r="F196" s="131">
        <f t="shared" si="46"/>
        <v>0</v>
      </c>
      <c r="G196" s="130">
        <f t="shared" si="46"/>
        <v>0</v>
      </c>
      <c r="H196" s="130">
        <f t="shared" si="46"/>
        <v>0</v>
      </c>
      <c r="I196" s="130">
        <f t="shared" si="46"/>
        <v>0</v>
      </c>
      <c r="J196" s="129">
        <f t="shared" si="46"/>
        <v>1</v>
      </c>
      <c r="K196" s="129">
        <f t="shared" si="46"/>
        <v>0</v>
      </c>
      <c r="L196" s="129">
        <f t="shared" si="46"/>
        <v>0</v>
      </c>
      <c r="M196" s="129">
        <f t="shared" si="46"/>
        <v>0</v>
      </c>
      <c r="N196" s="129">
        <f t="shared" si="46"/>
        <v>1</v>
      </c>
      <c r="O196" s="129">
        <f t="shared" si="46"/>
        <v>0</v>
      </c>
      <c r="P196" s="129">
        <f t="shared" si="46"/>
        <v>128</v>
      </c>
      <c r="Q196" s="129">
        <f t="shared" si="46"/>
        <v>128</v>
      </c>
      <c r="R196" s="129">
        <f t="shared" si="28"/>
        <v>0</v>
      </c>
      <c r="S196" s="146">
        <f t="shared" si="29"/>
        <v>3</v>
      </c>
    </row>
    <row r="197" spans="1:19" ht="17.25" customHeight="1">
      <c r="A197" s="132" t="s">
        <v>580</v>
      </c>
      <c r="B197" s="133" t="s">
        <v>342</v>
      </c>
      <c r="C197" s="89">
        <v>126</v>
      </c>
      <c r="D197" s="89">
        <f>SUM(E197:O197)</f>
        <v>2</v>
      </c>
      <c r="E197" s="134">
        <v>0</v>
      </c>
      <c r="F197" s="135">
        <v>0</v>
      </c>
      <c r="G197" s="134">
        <v>0</v>
      </c>
      <c r="H197" s="134"/>
      <c r="I197" s="134"/>
      <c r="J197" s="89">
        <v>1</v>
      </c>
      <c r="K197" s="89"/>
      <c r="L197" s="89"/>
      <c r="M197" s="89"/>
      <c r="N197" s="89">
        <v>1</v>
      </c>
      <c r="O197" s="89">
        <v>0</v>
      </c>
      <c r="P197" s="89">
        <f>C197+D197</f>
        <v>128</v>
      </c>
      <c r="Q197" s="89">
        <v>128</v>
      </c>
      <c r="R197" s="89">
        <f t="shared" si="28"/>
        <v>0</v>
      </c>
      <c r="S197" s="145">
        <f t="shared" si="29"/>
        <v>5</v>
      </c>
    </row>
    <row r="198" spans="1:19" ht="17.25" customHeight="1">
      <c r="A198" s="132" t="s">
        <v>581</v>
      </c>
      <c r="B198" s="133" t="s">
        <v>343</v>
      </c>
      <c r="C198" s="89">
        <v>0</v>
      </c>
      <c r="D198" s="89">
        <f>SUM(E198:O198)</f>
        <v>0</v>
      </c>
      <c r="E198" s="134">
        <v>0</v>
      </c>
      <c r="F198" s="135">
        <v>0</v>
      </c>
      <c r="G198" s="134">
        <v>0</v>
      </c>
      <c r="H198" s="134"/>
      <c r="I198" s="134"/>
      <c r="J198" s="89"/>
      <c r="K198" s="89"/>
      <c r="L198" s="89"/>
      <c r="M198" s="89"/>
      <c r="N198" s="90"/>
      <c r="O198" s="89">
        <v>0</v>
      </c>
      <c r="P198" s="89">
        <f>C198+D198</f>
        <v>0</v>
      </c>
      <c r="Q198" s="89"/>
      <c r="R198" s="89">
        <f t="shared" si="28"/>
        <v>0</v>
      </c>
      <c r="S198" s="145">
        <f t="shared" si="29"/>
        <v>5</v>
      </c>
    </row>
    <row r="199" spans="1:19" ht="17.25" customHeight="1">
      <c r="A199" s="132" t="s">
        <v>582</v>
      </c>
      <c r="B199" s="133" t="s">
        <v>344</v>
      </c>
      <c r="C199" s="89">
        <v>0</v>
      </c>
      <c r="D199" s="89">
        <f>SUM(E199:O199)</f>
        <v>0</v>
      </c>
      <c r="E199" s="134">
        <v>0</v>
      </c>
      <c r="F199" s="135">
        <v>0</v>
      </c>
      <c r="G199" s="134">
        <v>0</v>
      </c>
      <c r="H199" s="134">
        <v>0</v>
      </c>
      <c r="I199" s="134"/>
      <c r="J199" s="89"/>
      <c r="K199" s="89"/>
      <c r="L199" s="89"/>
      <c r="M199" s="152"/>
      <c r="N199" s="89"/>
      <c r="O199" s="89">
        <v>0</v>
      </c>
      <c r="P199" s="89">
        <f>C199+D199</f>
        <v>0</v>
      </c>
      <c r="Q199" s="89">
        <v>0</v>
      </c>
      <c r="R199" s="89">
        <f aca="true" t="shared" si="47" ref="R199:R218">P199-Q199</f>
        <v>0</v>
      </c>
      <c r="S199" s="145">
        <f t="shared" si="29"/>
        <v>5</v>
      </c>
    </row>
    <row r="200" spans="1:19" ht="17.25" customHeight="1">
      <c r="A200" s="132" t="s">
        <v>583</v>
      </c>
      <c r="B200" s="133" t="s">
        <v>345</v>
      </c>
      <c r="C200" s="89">
        <v>0</v>
      </c>
      <c r="D200" s="89">
        <f>SUM(E200:O200)</f>
        <v>0</v>
      </c>
      <c r="E200" s="134">
        <v>0</v>
      </c>
      <c r="F200" s="135">
        <v>0</v>
      </c>
      <c r="G200" s="134">
        <v>0</v>
      </c>
      <c r="H200" s="134"/>
      <c r="I200" s="134"/>
      <c r="J200" s="89"/>
      <c r="K200" s="89"/>
      <c r="L200" s="89"/>
      <c r="M200" s="89"/>
      <c r="N200" s="91"/>
      <c r="O200" s="89">
        <v>0</v>
      </c>
      <c r="P200" s="89">
        <f>C200+D200</f>
        <v>0</v>
      </c>
      <c r="Q200" s="89">
        <v>0</v>
      </c>
      <c r="R200" s="89">
        <f t="shared" si="47"/>
        <v>0</v>
      </c>
      <c r="S200" s="145">
        <f aca="true" t="shared" si="48" ref="S200:S218">LEN(A200)</f>
        <v>5</v>
      </c>
    </row>
    <row r="201" spans="1:19" ht="17.25" customHeight="1">
      <c r="A201" s="132" t="s">
        <v>584</v>
      </c>
      <c r="B201" s="133" t="s">
        <v>346</v>
      </c>
      <c r="C201" s="89">
        <v>0</v>
      </c>
      <c r="D201" s="89">
        <f>SUM(E201:O201)</f>
        <v>0</v>
      </c>
      <c r="E201" s="134">
        <v>0</v>
      </c>
      <c r="F201" s="135">
        <v>0</v>
      </c>
      <c r="G201" s="134">
        <v>0</v>
      </c>
      <c r="H201" s="134"/>
      <c r="I201" s="134"/>
      <c r="J201" s="89"/>
      <c r="K201" s="89"/>
      <c r="L201" s="89"/>
      <c r="M201" s="89"/>
      <c r="N201" s="89"/>
      <c r="O201" s="89">
        <v>0</v>
      </c>
      <c r="P201" s="89">
        <f>C201+D201</f>
        <v>0</v>
      </c>
      <c r="Q201" s="89">
        <v>0</v>
      </c>
      <c r="R201" s="89">
        <f t="shared" si="47"/>
        <v>0</v>
      </c>
      <c r="S201" s="145">
        <f t="shared" si="48"/>
        <v>5</v>
      </c>
    </row>
    <row r="202" spans="1:19" s="107" customFormat="1" ht="17.25" customHeight="1">
      <c r="A202" s="127" t="s">
        <v>585</v>
      </c>
      <c r="B202" s="128" t="s">
        <v>347</v>
      </c>
      <c r="C202" s="129">
        <f>SUM(C203:C210)</f>
        <v>4597</v>
      </c>
      <c r="D202" s="129">
        <f>SUM(D203:D210)</f>
        <v>608</v>
      </c>
      <c r="E202" s="129">
        <f aca="true" t="shared" si="49" ref="E202:Q202">SUM(E203:E210)</f>
        <v>205</v>
      </c>
      <c r="F202" s="153">
        <f t="shared" si="49"/>
        <v>0</v>
      </c>
      <c r="G202" s="129">
        <f t="shared" si="49"/>
        <v>0</v>
      </c>
      <c r="H202" s="129">
        <f t="shared" si="49"/>
        <v>0</v>
      </c>
      <c r="I202" s="129">
        <f t="shared" si="49"/>
        <v>0</v>
      </c>
      <c r="J202" s="129">
        <f t="shared" si="49"/>
        <v>0</v>
      </c>
      <c r="K202" s="129">
        <f t="shared" si="49"/>
        <v>0</v>
      </c>
      <c r="L202" s="129">
        <f t="shared" si="49"/>
        <v>0</v>
      </c>
      <c r="M202" s="129">
        <f t="shared" si="49"/>
        <v>0</v>
      </c>
      <c r="N202" s="129">
        <f t="shared" si="49"/>
        <v>403</v>
      </c>
      <c r="O202" s="129">
        <f t="shared" si="49"/>
        <v>0</v>
      </c>
      <c r="P202" s="129">
        <f t="shared" si="49"/>
        <v>5205</v>
      </c>
      <c r="Q202" s="129">
        <f t="shared" si="49"/>
        <v>2788</v>
      </c>
      <c r="R202" s="129">
        <f t="shared" si="47"/>
        <v>2417</v>
      </c>
      <c r="S202" s="146">
        <f t="shared" si="48"/>
        <v>3</v>
      </c>
    </row>
    <row r="203" spans="1:19" ht="17.25" customHeight="1">
      <c r="A203" s="132" t="s">
        <v>586</v>
      </c>
      <c r="B203" s="133" t="s">
        <v>348</v>
      </c>
      <c r="C203" s="89">
        <v>493</v>
      </c>
      <c r="D203" s="89">
        <f aca="true" t="shared" si="50" ref="D203:D211">SUM(E203:O203)</f>
        <v>12</v>
      </c>
      <c r="E203" s="134"/>
      <c r="F203" s="135"/>
      <c r="G203" s="134"/>
      <c r="H203" s="134"/>
      <c r="I203" s="134"/>
      <c r="J203" s="89"/>
      <c r="K203" s="89"/>
      <c r="L203" s="89"/>
      <c r="M203" s="89"/>
      <c r="N203" s="89">
        <v>12</v>
      </c>
      <c r="O203" s="89"/>
      <c r="P203" s="89">
        <f aca="true" t="shared" si="51" ref="P203:P211">C203+D203</f>
        <v>505</v>
      </c>
      <c r="Q203" s="89">
        <v>499</v>
      </c>
      <c r="R203" s="89">
        <f t="shared" si="47"/>
        <v>6</v>
      </c>
      <c r="S203" s="145">
        <f t="shared" si="48"/>
        <v>5</v>
      </c>
    </row>
    <row r="204" spans="1:19" ht="17.25" customHeight="1">
      <c r="A204" s="132" t="s">
        <v>587</v>
      </c>
      <c r="B204" s="133" t="s">
        <v>349</v>
      </c>
      <c r="C204" s="89">
        <v>856</v>
      </c>
      <c r="D204" s="89">
        <f t="shared" si="50"/>
        <v>391</v>
      </c>
      <c r="E204" s="134"/>
      <c r="F204" s="135"/>
      <c r="G204" s="134"/>
      <c r="H204" s="134"/>
      <c r="I204" s="134"/>
      <c r="J204" s="89"/>
      <c r="K204" s="89"/>
      <c r="L204" s="89"/>
      <c r="M204" s="89"/>
      <c r="N204" s="89">
        <f>-200+591</f>
        <v>391</v>
      </c>
      <c r="O204" s="89"/>
      <c r="P204" s="89">
        <f t="shared" si="51"/>
        <v>1247</v>
      </c>
      <c r="Q204" s="89">
        <v>718</v>
      </c>
      <c r="R204" s="89">
        <f t="shared" si="47"/>
        <v>529</v>
      </c>
      <c r="S204" s="145">
        <f t="shared" si="48"/>
        <v>5</v>
      </c>
    </row>
    <row r="205" spans="1:19" ht="17.25" customHeight="1">
      <c r="A205" s="132" t="s">
        <v>588</v>
      </c>
      <c r="B205" s="133" t="s">
        <v>350</v>
      </c>
      <c r="C205" s="89">
        <v>0</v>
      </c>
      <c r="D205" s="89">
        <f t="shared" si="50"/>
        <v>0</v>
      </c>
      <c r="E205" s="134"/>
      <c r="F205" s="135"/>
      <c r="G205" s="134"/>
      <c r="H205" s="134"/>
      <c r="I205" s="134"/>
      <c r="J205" s="89"/>
      <c r="K205" s="89"/>
      <c r="L205" s="89"/>
      <c r="M205" s="89"/>
      <c r="N205" s="89"/>
      <c r="O205" s="89"/>
      <c r="P205" s="89">
        <f t="shared" si="51"/>
        <v>0</v>
      </c>
      <c r="Q205" s="89"/>
      <c r="R205" s="89">
        <f t="shared" si="47"/>
        <v>0</v>
      </c>
      <c r="S205" s="145">
        <f t="shared" si="48"/>
        <v>5</v>
      </c>
    </row>
    <row r="206" spans="1:19" ht="17.25" customHeight="1">
      <c r="A206" s="132" t="s">
        <v>589</v>
      </c>
      <c r="B206" s="133" t="s">
        <v>351</v>
      </c>
      <c r="C206" s="89">
        <v>0</v>
      </c>
      <c r="D206" s="89">
        <f t="shared" si="50"/>
        <v>0</v>
      </c>
      <c r="E206" s="134"/>
      <c r="F206" s="135"/>
      <c r="G206" s="134"/>
      <c r="H206" s="134"/>
      <c r="I206" s="134"/>
      <c r="J206" s="89"/>
      <c r="K206" s="89"/>
      <c r="L206" s="89"/>
      <c r="M206" s="89"/>
      <c r="N206" s="89"/>
      <c r="O206" s="89"/>
      <c r="P206" s="89">
        <f t="shared" si="51"/>
        <v>0</v>
      </c>
      <c r="Q206" s="89">
        <v>0</v>
      </c>
      <c r="R206" s="89">
        <f t="shared" si="47"/>
        <v>0</v>
      </c>
      <c r="S206" s="145">
        <f t="shared" si="48"/>
        <v>5</v>
      </c>
    </row>
    <row r="207" spans="1:19" ht="17.25" customHeight="1">
      <c r="A207" s="132" t="s">
        <v>590</v>
      </c>
      <c r="B207" s="133" t="s">
        <v>352</v>
      </c>
      <c r="C207" s="89">
        <v>0</v>
      </c>
      <c r="D207" s="89">
        <f t="shared" si="50"/>
        <v>0</v>
      </c>
      <c r="E207" s="134"/>
      <c r="F207" s="135"/>
      <c r="G207" s="134"/>
      <c r="H207" s="134"/>
      <c r="I207" s="134"/>
      <c r="J207" s="89"/>
      <c r="K207" s="89"/>
      <c r="L207" s="89"/>
      <c r="M207" s="89"/>
      <c r="N207" s="89"/>
      <c r="O207" s="89"/>
      <c r="P207" s="89">
        <f t="shared" si="51"/>
        <v>0</v>
      </c>
      <c r="Q207" s="89">
        <v>0</v>
      </c>
      <c r="R207" s="89">
        <f t="shared" si="47"/>
        <v>0</v>
      </c>
      <c r="S207" s="145">
        <f t="shared" si="48"/>
        <v>5</v>
      </c>
    </row>
    <row r="208" spans="1:19" ht="17.25" customHeight="1">
      <c r="A208" s="132" t="s">
        <v>591</v>
      </c>
      <c r="B208" s="133" t="s">
        <v>353</v>
      </c>
      <c r="C208" s="89">
        <v>2660</v>
      </c>
      <c r="D208" s="89">
        <f t="shared" si="50"/>
        <v>-400</v>
      </c>
      <c r="E208" s="134"/>
      <c r="F208" s="135"/>
      <c r="G208" s="134"/>
      <c r="H208" s="134"/>
      <c r="I208" s="134"/>
      <c r="J208" s="89">
        <v>-400</v>
      </c>
      <c r="K208" s="89"/>
      <c r="L208" s="89"/>
      <c r="M208" s="89"/>
      <c r="N208" s="89"/>
      <c r="O208" s="89"/>
      <c r="P208" s="89">
        <f t="shared" si="51"/>
        <v>2260</v>
      </c>
      <c r="Q208" s="89">
        <v>524</v>
      </c>
      <c r="R208" s="89">
        <f t="shared" si="47"/>
        <v>1736</v>
      </c>
      <c r="S208" s="145">
        <f t="shared" si="48"/>
        <v>5</v>
      </c>
    </row>
    <row r="209" spans="1:19" ht="17.25" customHeight="1">
      <c r="A209" s="132" t="s">
        <v>592</v>
      </c>
      <c r="B209" s="133" t="s">
        <v>354</v>
      </c>
      <c r="C209" s="89">
        <v>423</v>
      </c>
      <c r="D209" s="89">
        <f t="shared" si="50"/>
        <v>100</v>
      </c>
      <c r="E209" s="134"/>
      <c r="F209" s="135"/>
      <c r="G209" s="134"/>
      <c r="H209" s="134"/>
      <c r="I209" s="134"/>
      <c r="J209" s="89">
        <v>100</v>
      </c>
      <c r="K209" s="89"/>
      <c r="L209" s="89"/>
      <c r="M209" s="89"/>
      <c r="N209" s="89"/>
      <c r="O209" s="89"/>
      <c r="P209" s="89">
        <f t="shared" si="51"/>
        <v>523</v>
      </c>
      <c r="Q209" s="89">
        <v>430</v>
      </c>
      <c r="R209" s="89">
        <f t="shared" si="47"/>
        <v>93</v>
      </c>
      <c r="S209" s="145">
        <f t="shared" si="48"/>
        <v>5</v>
      </c>
    </row>
    <row r="210" spans="1:19" ht="17.25" customHeight="1">
      <c r="A210" s="132" t="s">
        <v>593</v>
      </c>
      <c r="B210" s="133" t="s">
        <v>355</v>
      </c>
      <c r="C210" s="89">
        <v>165</v>
      </c>
      <c r="D210" s="89">
        <f t="shared" si="50"/>
        <v>505</v>
      </c>
      <c r="E210" s="134">
        <v>205</v>
      </c>
      <c r="F210" s="135"/>
      <c r="G210" s="134"/>
      <c r="H210" s="134"/>
      <c r="I210" s="134"/>
      <c r="J210" s="89">
        <v>300</v>
      </c>
      <c r="K210" s="89"/>
      <c r="L210" s="89"/>
      <c r="M210" s="89"/>
      <c r="N210" s="89"/>
      <c r="O210" s="89"/>
      <c r="P210" s="89">
        <f t="shared" si="51"/>
        <v>670</v>
      </c>
      <c r="Q210" s="89">
        <v>617</v>
      </c>
      <c r="R210" s="89">
        <f t="shared" si="47"/>
        <v>53</v>
      </c>
      <c r="S210" s="145">
        <f t="shared" si="48"/>
        <v>5</v>
      </c>
    </row>
    <row r="211" spans="1:19" s="107" customFormat="1" ht="16.5" customHeight="1">
      <c r="A211" s="127" t="s">
        <v>594</v>
      </c>
      <c r="B211" s="128" t="s">
        <v>356</v>
      </c>
      <c r="C211" s="129">
        <v>1500</v>
      </c>
      <c r="D211" s="129">
        <f t="shared" si="50"/>
        <v>-1500</v>
      </c>
      <c r="E211" s="130">
        <v>0</v>
      </c>
      <c r="F211" s="131">
        <v>0</v>
      </c>
      <c r="G211" s="130">
        <v>0</v>
      </c>
      <c r="H211" s="130"/>
      <c r="I211" s="130">
        <v>-1500</v>
      </c>
      <c r="J211" s="129"/>
      <c r="K211" s="129">
        <v>0</v>
      </c>
      <c r="L211" s="129">
        <v>0</v>
      </c>
      <c r="M211" s="129">
        <v>0</v>
      </c>
      <c r="N211" s="129">
        <v>0</v>
      </c>
      <c r="O211" s="129">
        <v>0</v>
      </c>
      <c r="P211" s="129">
        <f t="shared" si="51"/>
        <v>0</v>
      </c>
      <c r="Q211" s="129"/>
      <c r="R211" s="129">
        <f t="shared" si="47"/>
        <v>0</v>
      </c>
      <c r="S211" s="146">
        <f t="shared" si="48"/>
        <v>3</v>
      </c>
    </row>
    <row r="212" spans="1:19" s="107" customFormat="1" ht="17.25" customHeight="1">
      <c r="A212" s="127" t="s">
        <v>595</v>
      </c>
      <c r="B212" s="264" t="s">
        <v>357</v>
      </c>
      <c r="C212" s="129">
        <f>SUM(C213)</f>
        <v>4411</v>
      </c>
      <c r="D212" s="129">
        <f>SUM(D213)</f>
        <v>-526</v>
      </c>
      <c r="E212" s="129">
        <f aca="true" t="shared" si="52" ref="E212:P212">SUM(E213)</f>
        <v>0</v>
      </c>
      <c r="F212" s="153">
        <f t="shared" si="52"/>
        <v>3549</v>
      </c>
      <c r="G212" s="129">
        <f t="shared" si="52"/>
        <v>0</v>
      </c>
      <c r="H212" s="129">
        <f t="shared" si="52"/>
        <v>0</v>
      </c>
      <c r="I212" s="129">
        <f t="shared" si="52"/>
        <v>0</v>
      </c>
      <c r="J212" s="129">
        <f t="shared" si="52"/>
        <v>0</v>
      </c>
      <c r="K212" s="129">
        <f t="shared" si="52"/>
        <v>0</v>
      </c>
      <c r="L212" s="129">
        <f t="shared" si="52"/>
        <v>0</v>
      </c>
      <c r="M212" s="129">
        <f t="shared" si="52"/>
        <v>0</v>
      </c>
      <c r="N212" s="129">
        <f t="shared" si="52"/>
        <v>-4075</v>
      </c>
      <c r="O212" s="129">
        <f t="shared" si="52"/>
        <v>0</v>
      </c>
      <c r="P212" s="129">
        <f t="shared" si="52"/>
        <v>3885</v>
      </c>
      <c r="Q212" s="129"/>
      <c r="R212" s="129">
        <f t="shared" si="47"/>
        <v>3885</v>
      </c>
      <c r="S212" s="146">
        <f t="shared" si="48"/>
        <v>3</v>
      </c>
    </row>
    <row r="213" spans="1:19" ht="17.25" customHeight="1">
      <c r="A213" s="132" t="s">
        <v>596</v>
      </c>
      <c r="B213" s="262" t="s">
        <v>358</v>
      </c>
      <c r="C213" s="89">
        <v>4411</v>
      </c>
      <c r="D213" s="89">
        <f>SUM(E213:O213)</f>
        <v>-526</v>
      </c>
      <c r="E213" s="134">
        <v>0</v>
      </c>
      <c r="F213" s="135">
        <f>4075-526</f>
        <v>3549</v>
      </c>
      <c r="G213" s="134">
        <v>0</v>
      </c>
      <c r="H213" s="134">
        <v>0</v>
      </c>
      <c r="I213" s="134"/>
      <c r="J213" s="89"/>
      <c r="K213" s="89"/>
      <c r="L213" s="89"/>
      <c r="M213" s="89"/>
      <c r="N213" s="89">
        <v>-4075</v>
      </c>
      <c r="O213" s="89">
        <v>0</v>
      </c>
      <c r="P213" s="89">
        <f>C213+D213</f>
        <v>3885</v>
      </c>
      <c r="Q213" s="89"/>
      <c r="R213" s="89">
        <f t="shared" si="47"/>
        <v>3885</v>
      </c>
      <c r="S213" s="145">
        <f t="shared" si="48"/>
        <v>5</v>
      </c>
    </row>
    <row r="214" spans="1:19" s="107" customFormat="1" ht="17.25" customHeight="1">
      <c r="A214" s="127" t="s">
        <v>597</v>
      </c>
      <c r="B214" s="264" t="s">
        <v>359</v>
      </c>
      <c r="C214" s="129">
        <f>SUM(C215)</f>
        <v>0</v>
      </c>
      <c r="D214" s="129">
        <f>D215</f>
        <v>2</v>
      </c>
      <c r="E214" s="129">
        <f aca="true" t="shared" si="53" ref="E214:P214">E215</f>
        <v>0</v>
      </c>
      <c r="F214" s="129">
        <f t="shared" si="53"/>
        <v>2</v>
      </c>
      <c r="G214" s="129">
        <f t="shared" si="53"/>
        <v>0</v>
      </c>
      <c r="H214" s="129">
        <f t="shared" si="53"/>
        <v>0</v>
      </c>
      <c r="I214" s="129">
        <f t="shared" si="53"/>
        <v>0</v>
      </c>
      <c r="J214" s="129">
        <f t="shared" si="53"/>
        <v>0</v>
      </c>
      <c r="K214" s="129">
        <f t="shared" si="53"/>
        <v>0</v>
      </c>
      <c r="L214" s="129">
        <f t="shared" si="53"/>
        <v>0</v>
      </c>
      <c r="M214" s="129">
        <f t="shared" si="53"/>
        <v>0</v>
      </c>
      <c r="N214" s="129">
        <f t="shared" si="53"/>
        <v>0</v>
      </c>
      <c r="O214" s="129">
        <f t="shared" si="53"/>
        <v>0</v>
      </c>
      <c r="P214" s="129">
        <f t="shared" si="53"/>
        <v>2</v>
      </c>
      <c r="Q214" s="129"/>
      <c r="R214" s="129">
        <f t="shared" si="47"/>
        <v>2</v>
      </c>
      <c r="S214" s="146">
        <f t="shared" si="48"/>
        <v>3</v>
      </c>
    </row>
    <row r="215" spans="1:19" ht="17.25" customHeight="1">
      <c r="A215" s="132" t="s">
        <v>598</v>
      </c>
      <c r="B215" s="262" t="s">
        <v>599</v>
      </c>
      <c r="C215" s="89"/>
      <c r="D215" s="89">
        <f>SUM(E215:O215)</f>
        <v>2</v>
      </c>
      <c r="E215" s="134">
        <v>0</v>
      </c>
      <c r="F215" s="135">
        <v>2</v>
      </c>
      <c r="G215" s="134">
        <v>0</v>
      </c>
      <c r="H215" s="134">
        <v>0</v>
      </c>
      <c r="I215" s="134"/>
      <c r="J215" s="89"/>
      <c r="K215" s="89"/>
      <c r="L215" s="89"/>
      <c r="M215" s="89"/>
      <c r="N215" s="89"/>
      <c r="O215" s="89"/>
      <c r="P215" s="89">
        <f>C215+D215</f>
        <v>2</v>
      </c>
      <c r="Q215" s="89"/>
      <c r="R215" s="89">
        <f t="shared" si="47"/>
        <v>2</v>
      </c>
      <c r="S215" s="145">
        <f t="shared" si="48"/>
        <v>5</v>
      </c>
    </row>
    <row r="216" spans="1:19" s="107" customFormat="1" ht="17.25" customHeight="1">
      <c r="A216" s="127" t="s">
        <v>600</v>
      </c>
      <c r="B216" s="128" t="s">
        <v>361</v>
      </c>
      <c r="C216" s="129">
        <f>SUM(C217:C218)</f>
        <v>348</v>
      </c>
      <c r="D216" s="129">
        <f>SUM(D217:D218)</f>
        <v>18</v>
      </c>
      <c r="E216" s="130">
        <v>0</v>
      </c>
      <c r="F216" s="131">
        <f>F217+F218</f>
        <v>0</v>
      </c>
      <c r="G216" s="130">
        <f>G217+G218</f>
        <v>0</v>
      </c>
      <c r="H216" s="130">
        <f aca="true" t="shared" si="54" ref="H216:Q216">SUM(H217:H218)</f>
        <v>0</v>
      </c>
      <c r="I216" s="130">
        <f t="shared" si="54"/>
        <v>0</v>
      </c>
      <c r="J216" s="129">
        <f t="shared" si="54"/>
        <v>0</v>
      </c>
      <c r="K216" s="129">
        <f t="shared" si="54"/>
        <v>0</v>
      </c>
      <c r="L216" s="129">
        <f t="shared" si="54"/>
        <v>0</v>
      </c>
      <c r="M216" s="130">
        <f t="shared" si="54"/>
        <v>0</v>
      </c>
      <c r="N216" s="130">
        <f t="shared" si="54"/>
        <v>0</v>
      </c>
      <c r="O216" s="130">
        <f t="shared" si="54"/>
        <v>18</v>
      </c>
      <c r="P216" s="129">
        <f t="shared" si="54"/>
        <v>366</v>
      </c>
      <c r="Q216" s="129">
        <f t="shared" si="54"/>
        <v>122</v>
      </c>
      <c r="R216" s="129">
        <f t="shared" si="47"/>
        <v>244</v>
      </c>
      <c r="S216" s="146">
        <f t="shared" si="48"/>
        <v>3</v>
      </c>
    </row>
    <row r="217" spans="1:19" ht="17.25" customHeight="1">
      <c r="A217" s="132" t="s">
        <v>601</v>
      </c>
      <c r="B217" s="133" t="s">
        <v>363</v>
      </c>
      <c r="C217" s="89"/>
      <c r="D217" s="89">
        <f>SUM(E217:O217)</f>
        <v>0</v>
      </c>
      <c r="E217" s="134">
        <v>0</v>
      </c>
      <c r="F217" s="135">
        <v>0</v>
      </c>
      <c r="G217" s="134">
        <v>0</v>
      </c>
      <c r="H217" s="134">
        <v>0</v>
      </c>
      <c r="I217" s="134"/>
      <c r="J217" s="89"/>
      <c r="K217" s="89"/>
      <c r="L217" s="89"/>
      <c r="M217" s="89"/>
      <c r="N217" s="89"/>
      <c r="O217" s="89">
        <v>0</v>
      </c>
      <c r="P217" s="89">
        <f>C217+D217</f>
        <v>0</v>
      </c>
      <c r="Q217" s="89"/>
      <c r="R217" s="89">
        <f t="shared" si="47"/>
        <v>0</v>
      </c>
      <c r="S217" s="145">
        <f t="shared" si="48"/>
        <v>5</v>
      </c>
    </row>
    <row r="218" spans="1:19" ht="17.25" customHeight="1">
      <c r="A218" s="132" t="s">
        <v>602</v>
      </c>
      <c r="B218" s="133" t="s">
        <v>364</v>
      </c>
      <c r="C218" s="89">
        <v>348</v>
      </c>
      <c r="D218" s="89">
        <f>SUM(E218:O218)</f>
        <v>18</v>
      </c>
      <c r="E218" s="134">
        <v>0</v>
      </c>
      <c r="F218" s="135"/>
      <c r="G218" s="134"/>
      <c r="H218" s="134"/>
      <c r="I218" s="134"/>
      <c r="J218" s="89"/>
      <c r="K218" s="89"/>
      <c r="L218" s="89"/>
      <c r="M218" s="89"/>
      <c r="N218" s="89"/>
      <c r="O218" s="89">
        <v>18</v>
      </c>
      <c r="P218" s="89">
        <f>C218+D218</f>
        <v>366</v>
      </c>
      <c r="Q218" s="89">
        <v>122</v>
      </c>
      <c r="R218" s="89">
        <f t="shared" si="47"/>
        <v>244</v>
      </c>
      <c r="S218" s="145">
        <f t="shared" si="48"/>
        <v>5</v>
      </c>
    </row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6.5" customHeight="1"/>
    <row r="226" ht="16.5" customHeight="1"/>
    <row r="227" ht="16.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6.5" customHeight="1"/>
  </sheetData>
  <sheetProtection/>
  <mergeCells count="20">
    <mergeCell ref="A1:R1"/>
    <mergeCell ref="D3:O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3:Q5"/>
    <mergeCell ref="R3:R5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8" fitToWidth="1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0"/>
  <sheetViews>
    <sheetView showZeros="0" workbookViewId="0" topLeftCell="A1">
      <pane ySplit="4" topLeftCell="A186" activePane="bottomLeft" state="frozen"/>
      <selection pane="bottomLeft" activeCell="E29" sqref="E29"/>
    </sheetView>
  </sheetViews>
  <sheetFormatPr defaultColWidth="9.00390625" defaultRowHeight="14.25"/>
  <cols>
    <col min="1" max="1" width="31.875" style="27" customWidth="1"/>
    <col min="2" max="2" width="6.625" style="27" customWidth="1"/>
    <col min="3" max="3" width="9.50390625" style="27" customWidth="1"/>
    <col min="4" max="4" width="8.125" style="27" customWidth="1"/>
    <col min="5" max="5" width="10.50390625" style="27" customWidth="1"/>
    <col min="6" max="6" width="8.125" style="27" customWidth="1"/>
    <col min="7" max="7" width="33.875" style="27" customWidth="1"/>
    <col min="8" max="8" width="6.875" style="27" customWidth="1"/>
    <col min="9" max="9" width="8.75390625" style="27" customWidth="1"/>
    <col min="10" max="10" width="7.125" style="27" customWidth="1"/>
    <col min="11" max="11" width="11.125" style="27" customWidth="1"/>
    <col min="12" max="12" width="8.375" style="27" customWidth="1"/>
    <col min="13" max="16" width="10.625" style="27" hidden="1" customWidth="1"/>
    <col min="17" max="18" width="9.00390625" style="27" hidden="1" customWidth="1"/>
    <col min="19" max="22" width="9.00390625" style="27" customWidth="1"/>
    <col min="23" max="16384" width="9.00390625" style="27" customWidth="1"/>
  </cols>
  <sheetData>
    <row r="1" spans="1:12" ht="20.25">
      <c r="A1" s="265" t="s">
        <v>603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9" ht="14.25">
      <c r="A2" s="70"/>
      <c r="B2" s="70"/>
      <c r="C2" s="71"/>
      <c r="D2" s="71"/>
      <c r="E2" s="71"/>
      <c r="F2" s="71"/>
      <c r="G2" s="71"/>
      <c r="H2" s="71"/>
      <c r="I2" s="71" t="s">
        <v>1</v>
      </c>
    </row>
    <row r="3" spans="1:16" s="68" customFormat="1" ht="18" customHeight="1">
      <c r="A3" s="72" t="s">
        <v>604</v>
      </c>
      <c r="B3" s="73"/>
      <c r="C3" s="73"/>
      <c r="D3" s="73"/>
      <c r="E3" s="73"/>
      <c r="F3" s="73"/>
      <c r="G3" s="74" t="s">
        <v>605</v>
      </c>
      <c r="H3" s="75"/>
      <c r="I3" s="75"/>
      <c r="J3" s="75"/>
      <c r="K3" s="75"/>
      <c r="L3" s="95"/>
      <c r="M3" s="96" t="s">
        <v>606</v>
      </c>
      <c r="N3" s="96"/>
      <c r="O3" s="96"/>
      <c r="P3" s="96"/>
    </row>
    <row r="4" spans="1:16" s="68" customFormat="1" ht="36.75" customHeight="1">
      <c r="A4" s="76" t="s">
        <v>2</v>
      </c>
      <c r="B4" s="76" t="s">
        <v>3</v>
      </c>
      <c r="C4" s="77" t="s">
        <v>34</v>
      </c>
      <c r="D4" s="78" t="s">
        <v>5</v>
      </c>
      <c r="E4" s="266" t="s">
        <v>607</v>
      </c>
      <c r="F4" s="79" t="s">
        <v>7</v>
      </c>
      <c r="G4" s="76" t="s">
        <v>2</v>
      </c>
      <c r="H4" s="76" t="s">
        <v>3</v>
      </c>
      <c r="I4" s="77" t="s">
        <v>34</v>
      </c>
      <c r="J4" s="78" t="s">
        <v>5</v>
      </c>
      <c r="K4" s="266" t="s">
        <v>607</v>
      </c>
      <c r="L4" s="79" t="s">
        <v>7</v>
      </c>
      <c r="M4" s="97" t="s">
        <v>608</v>
      </c>
      <c r="N4" s="267" t="s">
        <v>608</v>
      </c>
      <c r="O4" s="97" t="s">
        <v>609</v>
      </c>
      <c r="P4" s="267" t="s">
        <v>610</v>
      </c>
    </row>
    <row r="5" spans="1:16" s="68" customFormat="1" ht="18" customHeight="1">
      <c r="A5" s="80" t="s">
        <v>611</v>
      </c>
      <c r="B5" s="80"/>
      <c r="C5" s="81"/>
      <c r="D5" s="81"/>
      <c r="E5" s="81"/>
      <c r="F5" s="82">
        <f>IF(B5=0,0,SUM(E5/B5-1)*100)</f>
        <v>0</v>
      </c>
      <c r="G5" s="268" t="s">
        <v>612</v>
      </c>
      <c r="H5" s="84">
        <f>H6+H11</f>
        <v>3</v>
      </c>
      <c r="I5" s="84">
        <f>I6+I11</f>
        <v>0</v>
      </c>
      <c r="J5" s="84">
        <f>K5-I5</f>
        <v>5</v>
      </c>
      <c r="K5" s="84">
        <f>K6+K11</f>
        <v>5</v>
      </c>
      <c r="L5" s="82">
        <f>IF(H5=0,0,SUM(K5/H5-1)*100)</f>
        <v>66.66666666666667</v>
      </c>
      <c r="M5" s="84">
        <f>M6+M11</f>
        <v>-49</v>
      </c>
      <c r="N5" s="84">
        <f>N6+N11</f>
        <v>0</v>
      </c>
      <c r="O5" s="84">
        <f>O6+O11</f>
        <v>4</v>
      </c>
      <c r="P5" s="84">
        <f>P6+P11</f>
        <v>-53</v>
      </c>
    </row>
    <row r="6" spans="1:16" s="68" customFormat="1" ht="18" customHeight="1">
      <c r="A6" s="80" t="s">
        <v>613</v>
      </c>
      <c r="B6" s="80"/>
      <c r="C6" s="81"/>
      <c r="D6" s="81"/>
      <c r="E6" s="81"/>
      <c r="F6" s="82">
        <f aca="true" t="shared" si="0" ref="F6:F70">IF(B6=0,0,SUM(E6/B6-1)*100)</f>
        <v>0</v>
      </c>
      <c r="G6" s="83" t="s">
        <v>614</v>
      </c>
      <c r="H6" s="81">
        <f>SUM(H7:H10)</f>
        <v>3</v>
      </c>
      <c r="I6" s="81">
        <f>SUM(I7:I10)</f>
        <v>0</v>
      </c>
      <c r="J6" s="84">
        <f aca="true" t="shared" si="1" ref="J6:J76">K6-I6</f>
        <v>5</v>
      </c>
      <c r="K6" s="81">
        <f>SUM(K7:K10)</f>
        <v>5</v>
      </c>
      <c r="L6" s="82">
        <f aca="true" t="shared" si="2" ref="L6:L76">IF(H6=0,0,SUM(K6/H6-1)*100)</f>
        <v>66.66666666666667</v>
      </c>
      <c r="M6" s="81">
        <f>N6+O6+P6</f>
        <v>4</v>
      </c>
      <c r="N6" s="81">
        <f>SUM(N7:N10)</f>
        <v>0</v>
      </c>
      <c r="O6" s="81">
        <f>SUM(O7:O10)</f>
        <v>4</v>
      </c>
      <c r="P6" s="81">
        <f>SUM(P7:P10)</f>
        <v>0</v>
      </c>
    </row>
    <row r="7" spans="1:16" s="68" customFormat="1" ht="18" customHeight="1">
      <c r="A7" s="80" t="s">
        <v>615</v>
      </c>
      <c r="B7" s="80"/>
      <c r="C7" s="81"/>
      <c r="D7" s="81"/>
      <c r="E7" s="81"/>
      <c r="F7" s="82">
        <f t="shared" si="0"/>
        <v>0</v>
      </c>
      <c r="G7" s="83" t="s">
        <v>616</v>
      </c>
      <c r="H7" s="85"/>
      <c r="I7" s="81"/>
      <c r="J7" s="84">
        <f t="shared" si="1"/>
        <v>0</v>
      </c>
      <c r="K7" s="81"/>
      <c r="L7" s="82">
        <f t="shared" si="2"/>
        <v>0</v>
      </c>
      <c r="M7" s="81">
        <f aca="true" t="shared" si="3" ref="M7:M70">N7+O7+P7</f>
        <v>0</v>
      </c>
      <c r="N7" s="85"/>
      <c r="O7" s="85"/>
      <c r="P7" s="85"/>
    </row>
    <row r="8" spans="1:16" s="68" customFormat="1" ht="18" customHeight="1">
      <c r="A8" s="80" t="s">
        <v>617</v>
      </c>
      <c r="B8" s="80"/>
      <c r="C8" s="81"/>
      <c r="D8" s="81"/>
      <c r="E8" s="81"/>
      <c r="F8" s="82">
        <f t="shared" si="0"/>
        <v>0</v>
      </c>
      <c r="G8" s="83" t="s">
        <v>618</v>
      </c>
      <c r="H8" s="85"/>
      <c r="I8" s="81"/>
      <c r="J8" s="84">
        <f t="shared" si="1"/>
        <v>0</v>
      </c>
      <c r="K8" s="81"/>
      <c r="L8" s="82">
        <f t="shared" si="2"/>
        <v>0</v>
      </c>
      <c r="M8" s="81">
        <f t="shared" si="3"/>
        <v>0</v>
      </c>
      <c r="N8" s="85"/>
      <c r="O8" s="85"/>
      <c r="P8" s="85"/>
    </row>
    <row r="9" spans="1:16" s="68" customFormat="1" ht="18" customHeight="1">
      <c r="A9" s="80" t="s">
        <v>619</v>
      </c>
      <c r="B9" s="86"/>
      <c r="C9" s="86"/>
      <c r="D9" s="81">
        <f>E9-C9</f>
        <v>0</v>
      </c>
      <c r="E9" s="86"/>
      <c r="F9" s="82">
        <f t="shared" si="0"/>
        <v>0</v>
      </c>
      <c r="G9" s="83" t="s">
        <v>620</v>
      </c>
      <c r="H9" s="85"/>
      <c r="I9" s="81"/>
      <c r="J9" s="84">
        <f t="shared" si="1"/>
        <v>0</v>
      </c>
      <c r="K9" s="81"/>
      <c r="L9" s="82">
        <f t="shared" si="2"/>
        <v>0</v>
      </c>
      <c r="M9" s="81">
        <f t="shared" si="3"/>
        <v>0</v>
      </c>
      <c r="N9" s="85"/>
      <c r="O9" s="85"/>
      <c r="P9" s="85"/>
    </row>
    <row r="10" spans="1:16" s="68" customFormat="1" ht="18" customHeight="1">
      <c r="A10" s="80" t="s">
        <v>621</v>
      </c>
      <c r="B10" s="80"/>
      <c r="C10" s="81"/>
      <c r="D10" s="81">
        <f aca="true" t="shared" si="4" ref="D10:D45">E10-C10</f>
        <v>0</v>
      </c>
      <c r="E10" s="81"/>
      <c r="F10" s="82">
        <f t="shared" si="0"/>
        <v>0</v>
      </c>
      <c r="G10" s="83" t="s">
        <v>622</v>
      </c>
      <c r="H10" s="85">
        <v>3</v>
      </c>
      <c r="I10" s="81"/>
      <c r="J10" s="84">
        <f t="shared" si="1"/>
        <v>5</v>
      </c>
      <c r="K10" s="81">
        <v>5</v>
      </c>
      <c r="L10" s="82">
        <f t="shared" si="2"/>
        <v>66.66666666666667</v>
      </c>
      <c r="M10" s="81">
        <f t="shared" si="3"/>
        <v>4</v>
      </c>
      <c r="N10" s="85"/>
      <c r="O10" s="85">
        <v>4</v>
      </c>
      <c r="P10" s="85"/>
    </row>
    <row r="11" spans="1:16" s="68" customFormat="1" ht="18" customHeight="1">
      <c r="A11" s="80" t="s">
        <v>623</v>
      </c>
      <c r="B11" s="80"/>
      <c r="C11" s="81"/>
      <c r="D11" s="81">
        <f t="shared" si="4"/>
        <v>0</v>
      </c>
      <c r="E11" s="81"/>
      <c r="F11" s="82">
        <f t="shared" si="0"/>
        <v>0</v>
      </c>
      <c r="G11" s="268" t="s">
        <v>624</v>
      </c>
      <c r="H11" s="81">
        <f>SUM(H12:H16)</f>
        <v>0</v>
      </c>
      <c r="I11" s="81">
        <f>SUM(I12:I16)</f>
        <v>0</v>
      </c>
      <c r="J11" s="84">
        <f t="shared" si="1"/>
        <v>0</v>
      </c>
      <c r="K11" s="81">
        <f>SUM(K12:K16)</f>
        <v>0</v>
      </c>
      <c r="L11" s="82">
        <f t="shared" si="2"/>
        <v>0</v>
      </c>
      <c r="M11" s="81">
        <f t="shared" si="3"/>
        <v>-53</v>
      </c>
      <c r="N11" s="81">
        <f>SUM(N12:N16)</f>
        <v>0</v>
      </c>
      <c r="O11" s="81">
        <f>SUM(O12:O16)</f>
        <v>0</v>
      </c>
      <c r="P11" s="81">
        <f>SUM(P12:P16)</f>
        <v>-53</v>
      </c>
    </row>
    <row r="12" spans="1:16" s="68" customFormat="1" ht="18" customHeight="1">
      <c r="A12" s="80" t="s">
        <v>625</v>
      </c>
      <c r="B12" s="80"/>
      <c r="C12" s="81"/>
      <c r="D12" s="81">
        <f t="shared" si="4"/>
        <v>0</v>
      </c>
      <c r="E12" s="81"/>
      <c r="F12" s="82">
        <f t="shared" si="0"/>
        <v>0</v>
      </c>
      <c r="G12" s="87" t="s">
        <v>626</v>
      </c>
      <c r="H12" s="81"/>
      <c r="I12" s="81"/>
      <c r="J12" s="84">
        <f t="shared" si="1"/>
        <v>0</v>
      </c>
      <c r="K12" s="81"/>
      <c r="L12" s="82">
        <f t="shared" si="2"/>
        <v>0</v>
      </c>
      <c r="M12" s="81">
        <f t="shared" si="3"/>
        <v>0</v>
      </c>
      <c r="N12" s="81"/>
      <c r="O12" s="81"/>
      <c r="P12" s="81"/>
    </row>
    <row r="13" spans="1:16" s="68" customFormat="1" ht="18" customHeight="1">
      <c r="A13" s="80" t="s">
        <v>627</v>
      </c>
      <c r="B13" s="80"/>
      <c r="C13" s="81"/>
      <c r="D13" s="81">
        <f t="shared" si="4"/>
        <v>0</v>
      </c>
      <c r="E13" s="81"/>
      <c r="F13" s="82">
        <f t="shared" si="0"/>
        <v>0</v>
      </c>
      <c r="G13" s="87" t="s">
        <v>628</v>
      </c>
      <c r="H13" s="81"/>
      <c r="I13" s="81"/>
      <c r="J13" s="84">
        <f t="shared" si="1"/>
        <v>0</v>
      </c>
      <c r="K13" s="81"/>
      <c r="L13" s="82">
        <f t="shared" si="2"/>
        <v>0</v>
      </c>
      <c r="M13" s="81">
        <f t="shared" si="3"/>
        <v>0</v>
      </c>
      <c r="N13" s="81"/>
      <c r="O13" s="81"/>
      <c r="P13" s="81"/>
    </row>
    <row r="14" spans="1:16" s="68" customFormat="1" ht="18" customHeight="1">
      <c r="A14" s="80" t="s">
        <v>629</v>
      </c>
      <c r="B14" s="80"/>
      <c r="C14" s="81">
        <f>SUM(C15:C20)</f>
        <v>0</v>
      </c>
      <c r="D14" s="81">
        <f t="shared" si="4"/>
        <v>0</v>
      </c>
      <c r="E14" s="81">
        <f>SUM(E15:E20)</f>
        <v>0</v>
      </c>
      <c r="F14" s="82">
        <f t="shared" si="0"/>
        <v>0</v>
      </c>
      <c r="G14" s="87" t="s">
        <v>630</v>
      </c>
      <c r="H14" s="81"/>
      <c r="I14" s="81"/>
      <c r="J14" s="84">
        <f t="shared" si="1"/>
        <v>0</v>
      </c>
      <c r="K14" s="81"/>
      <c r="L14" s="82">
        <f t="shared" si="2"/>
        <v>0</v>
      </c>
      <c r="M14" s="81">
        <f t="shared" si="3"/>
        <v>0</v>
      </c>
      <c r="N14" s="81"/>
      <c r="O14" s="81"/>
      <c r="P14" s="81"/>
    </row>
    <row r="15" spans="1:16" s="68" customFormat="1" ht="18" customHeight="1">
      <c r="A15" s="81" t="s">
        <v>631</v>
      </c>
      <c r="B15" s="81"/>
      <c r="C15" s="81"/>
      <c r="D15" s="81">
        <f t="shared" si="4"/>
        <v>0</v>
      </c>
      <c r="E15" s="81"/>
      <c r="F15" s="82">
        <f t="shared" si="0"/>
        <v>0</v>
      </c>
      <c r="G15" s="87" t="s">
        <v>632</v>
      </c>
      <c r="H15" s="81"/>
      <c r="I15" s="81"/>
      <c r="J15" s="84">
        <f t="shared" si="1"/>
        <v>0</v>
      </c>
      <c r="K15" s="81">
        <v>0</v>
      </c>
      <c r="L15" s="82">
        <f t="shared" si="2"/>
        <v>0</v>
      </c>
      <c r="M15" s="81">
        <f t="shared" si="3"/>
        <v>-53</v>
      </c>
      <c r="N15" s="81"/>
      <c r="O15" s="81"/>
      <c r="P15" s="81">
        <v>-53</v>
      </c>
    </row>
    <row r="16" spans="1:16" s="68" customFormat="1" ht="18" customHeight="1">
      <c r="A16" s="81" t="s">
        <v>633</v>
      </c>
      <c r="B16" s="81"/>
      <c r="C16" s="81"/>
      <c r="D16" s="81">
        <f t="shared" si="4"/>
        <v>0</v>
      </c>
      <c r="E16" s="81"/>
      <c r="F16" s="82">
        <f t="shared" si="0"/>
        <v>0</v>
      </c>
      <c r="G16" s="87" t="s">
        <v>634</v>
      </c>
      <c r="H16" s="88"/>
      <c r="I16" s="88"/>
      <c r="J16" s="84">
        <f t="shared" si="1"/>
        <v>0</v>
      </c>
      <c r="K16" s="88"/>
      <c r="L16" s="82">
        <f t="shared" si="2"/>
        <v>0</v>
      </c>
      <c r="M16" s="81">
        <f t="shared" si="3"/>
        <v>0</v>
      </c>
      <c r="N16" s="88"/>
      <c r="O16" s="88"/>
      <c r="P16" s="88"/>
    </row>
    <row r="17" spans="1:16" s="68" customFormat="1" ht="18" customHeight="1">
      <c r="A17" s="81" t="s">
        <v>635</v>
      </c>
      <c r="B17" s="81"/>
      <c r="C17" s="81"/>
      <c r="D17" s="81">
        <f t="shared" si="4"/>
        <v>0</v>
      </c>
      <c r="E17" s="81"/>
      <c r="F17" s="82">
        <f t="shared" si="0"/>
        <v>0</v>
      </c>
      <c r="G17" s="87"/>
      <c r="H17" s="88"/>
      <c r="I17" s="88"/>
      <c r="J17" s="84"/>
      <c r="K17" s="88"/>
      <c r="L17" s="82"/>
      <c r="M17" s="81">
        <f t="shared" si="3"/>
        <v>0</v>
      </c>
      <c r="N17" s="88"/>
      <c r="O17" s="88"/>
      <c r="P17" s="88"/>
    </row>
    <row r="18" spans="1:16" s="68" customFormat="1" ht="18" customHeight="1">
      <c r="A18" s="81" t="s">
        <v>636</v>
      </c>
      <c r="B18" s="81"/>
      <c r="C18" s="81"/>
      <c r="D18" s="81">
        <f t="shared" si="4"/>
        <v>0</v>
      </c>
      <c r="E18" s="81"/>
      <c r="F18" s="82">
        <f t="shared" si="0"/>
        <v>0</v>
      </c>
      <c r="G18" s="268" t="s">
        <v>637</v>
      </c>
      <c r="H18" s="81">
        <f>SUM(H19+H23)</f>
        <v>1035</v>
      </c>
      <c r="I18" s="81">
        <f>SUM(I19+I23)</f>
        <v>4991</v>
      </c>
      <c r="J18" s="84">
        <f t="shared" si="1"/>
        <v>1252</v>
      </c>
      <c r="K18" s="81">
        <f>SUM(K19+K23)</f>
        <v>6243</v>
      </c>
      <c r="L18" s="82">
        <f t="shared" si="2"/>
        <v>503.18840579710144</v>
      </c>
      <c r="M18" s="81">
        <f t="shared" si="3"/>
        <v>894</v>
      </c>
      <c r="N18" s="81">
        <f>SUM(N19+N23)</f>
        <v>0</v>
      </c>
      <c r="O18" s="81">
        <f>SUM(O19+O23)</f>
        <v>894</v>
      </c>
      <c r="P18" s="81">
        <f>SUM(P19+P23)</f>
        <v>0</v>
      </c>
    </row>
    <row r="19" spans="1:16" s="68" customFormat="1" ht="18" customHeight="1">
      <c r="A19" s="81" t="s">
        <v>638</v>
      </c>
      <c r="B19" s="81"/>
      <c r="C19" s="81"/>
      <c r="D19" s="81">
        <f t="shared" si="4"/>
        <v>0</v>
      </c>
      <c r="E19" s="81"/>
      <c r="F19" s="82">
        <f t="shared" si="0"/>
        <v>0</v>
      </c>
      <c r="G19" s="83" t="s">
        <v>639</v>
      </c>
      <c r="H19" s="81">
        <f>SUM(H20:H22)</f>
        <v>1021</v>
      </c>
      <c r="I19" s="81">
        <f>SUM(I20:I22)</f>
        <v>4952</v>
      </c>
      <c r="J19" s="84">
        <f t="shared" si="1"/>
        <v>1171</v>
      </c>
      <c r="K19" s="81">
        <f>SUM(K20:K22)</f>
        <v>6123</v>
      </c>
      <c r="L19" s="82">
        <f t="shared" si="2"/>
        <v>499.7061704211557</v>
      </c>
      <c r="M19" s="81">
        <f t="shared" si="3"/>
        <v>813</v>
      </c>
      <c r="N19" s="81">
        <f>SUM(N20:N22)</f>
        <v>0</v>
      </c>
      <c r="O19" s="81">
        <f>SUM(O20:O22)</f>
        <v>813</v>
      </c>
      <c r="P19" s="81">
        <f>SUM(P20:P22)</f>
        <v>0</v>
      </c>
    </row>
    <row r="20" spans="1:16" s="68" customFormat="1" ht="18" customHeight="1">
      <c r="A20" s="81" t="s">
        <v>640</v>
      </c>
      <c r="B20" s="81"/>
      <c r="C20" s="81"/>
      <c r="D20" s="81"/>
      <c r="E20" s="81"/>
      <c r="F20" s="82">
        <f t="shared" si="0"/>
        <v>0</v>
      </c>
      <c r="G20" s="83" t="s">
        <v>641</v>
      </c>
      <c r="H20" s="89">
        <v>433</v>
      </c>
      <c r="I20" s="60">
        <v>722</v>
      </c>
      <c r="J20" s="84">
        <f t="shared" si="1"/>
        <v>0</v>
      </c>
      <c r="K20" s="60">
        <v>722</v>
      </c>
      <c r="L20" s="82">
        <f t="shared" si="2"/>
        <v>66.74364896073904</v>
      </c>
      <c r="M20" s="81">
        <f t="shared" si="3"/>
        <v>0</v>
      </c>
      <c r="N20" s="81"/>
      <c r="O20" s="81"/>
      <c r="P20" s="84"/>
    </row>
    <row r="21" spans="1:16" s="68" customFormat="1" ht="18" customHeight="1">
      <c r="A21" s="80" t="s">
        <v>642</v>
      </c>
      <c r="B21" s="80"/>
      <c r="C21" s="81"/>
      <c r="D21" s="81">
        <f t="shared" si="4"/>
        <v>0</v>
      </c>
      <c r="E21" s="81"/>
      <c r="F21" s="82">
        <f t="shared" si="0"/>
        <v>0</v>
      </c>
      <c r="G21" s="83" t="s">
        <v>643</v>
      </c>
      <c r="H21" s="89">
        <v>588</v>
      </c>
      <c r="I21" s="60">
        <v>4230</v>
      </c>
      <c r="J21" s="84">
        <f t="shared" si="1"/>
        <v>1171</v>
      </c>
      <c r="K21" s="60">
        <v>5401</v>
      </c>
      <c r="L21" s="82">
        <f t="shared" si="2"/>
        <v>818.5374149659865</v>
      </c>
      <c r="M21" s="81">
        <f t="shared" si="3"/>
        <v>813</v>
      </c>
      <c r="N21" s="81"/>
      <c r="O21" s="81">
        <v>813</v>
      </c>
      <c r="P21" s="84"/>
    </row>
    <row r="22" spans="1:16" s="68" customFormat="1" ht="18" customHeight="1">
      <c r="A22" s="268" t="s">
        <v>644</v>
      </c>
      <c r="B22" s="81"/>
      <c r="C22" s="60">
        <v>760</v>
      </c>
      <c r="D22" s="81">
        <f t="shared" si="4"/>
        <v>-760</v>
      </c>
      <c r="E22" s="60"/>
      <c r="F22" s="82">
        <f t="shared" si="0"/>
        <v>0</v>
      </c>
      <c r="G22" s="83" t="s">
        <v>645</v>
      </c>
      <c r="H22" s="81"/>
      <c r="I22" s="60"/>
      <c r="J22" s="84">
        <f t="shared" si="1"/>
        <v>0</v>
      </c>
      <c r="K22" s="81"/>
      <c r="L22" s="82">
        <f t="shared" si="2"/>
        <v>0</v>
      </c>
      <c r="M22" s="81">
        <f t="shared" si="3"/>
        <v>0</v>
      </c>
      <c r="N22" s="81"/>
      <c r="O22" s="81"/>
      <c r="P22" s="81"/>
    </row>
    <row r="23" spans="1:16" s="68" customFormat="1" ht="18" customHeight="1">
      <c r="A23" s="268" t="s">
        <v>646</v>
      </c>
      <c r="B23" s="81"/>
      <c r="C23" s="60">
        <v>40</v>
      </c>
      <c r="D23" s="81">
        <f t="shared" si="4"/>
        <v>-40</v>
      </c>
      <c r="E23" s="60"/>
      <c r="F23" s="82">
        <f t="shared" si="0"/>
        <v>0</v>
      </c>
      <c r="G23" s="83" t="s">
        <v>647</v>
      </c>
      <c r="H23" s="81">
        <f>SUM(H24:H26)</f>
        <v>14</v>
      </c>
      <c r="I23" s="81">
        <f>SUM(I24:I26)</f>
        <v>39</v>
      </c>
      <c r="J23" s="84">
        <f t="shared" si="1"/>
        <v>81</v>
      </c>
      <c r="K23" s="81">
        <f>SUM(K24:K26)</f>
        <v>120</v>
      </c>
      <c r="L23" s="82">
        <f t="shared" si="2"/>
        <v>757.1428571428571</v>
      </c>
      <c r="M23" s="81">
        <f t="shared" si="3"/>
        <v>81</v>
      </c>
      <c r="N23" s="81">
        <f>SUM(N24:N26)</f>
        <v>0</v>
      </c>
      <c r="O23" s="81">
        <f>SUM(O24:O26)</f>
        <v>81</v>
      </c>
      <c r="P23" s="81">
        <f>SUM(P24:P26)</f>
        <v>0</v>
      </c>
    </row>
    <row r="24" spans="1:16" s="68" customFormat="1" ht="18" customHeight="1">
      <c r="A24" s="268" t="s">
        <v>648</v>
      </c>
      <c r="B24" s="81">
        <v>8582</v>
      </c>
      <c r="C24" s="60">
        <f>SUM(C25:C29)</f>
        <v>43650</v>
      </c>
      <c r="D24" s="81">
        <f t="shared" si="4"/>
        <v>-17819</v>
      </c>
      <c r="E24" s="81">
        <f>SUM(E25:E29)</f>
        <v>25831</v>
      </c>
      <c r="F24" s="82">
        <f t="shared" si="0"/>
        <v>200.99044511768818</v>
      </c>
      <c r="G24" s="83" t="s">
        <v>641</v>
      </c>
      <c r="H24" s="83"/>
      <c r="I24" s="81"/>
      <c r="J24" s="84">
        <f t="shared" si="1"/>
        <v>0</v>
      </c>
      <c r="K24" s="81"/>
      <c r="L24" s="82">
        <f t="shared" si="2"/>
        <v>0</v>
      </c>
      <c r="M24" s="81">
        <f t="shared" si="3"/>
        <v>0</v>
      </c>
      <c r="N24" s="81"/>
      <c r="O24" s="81"/>
      <c r="P24" s="81"/>
    </row>
    <row r="25" spans="1:16" s="68" customFormat="1" ht="18" customHeight="1">
      <c r="A25" s="81" t="s">
        <v>649</v>
      </c>
      <c r="B25" s="81">
        <v>8130</v>
      </c>
      <c r="C25" s="60">
        <v>34870</v>
      </c>
      <c r="D25" s="81">
        <f t="shared" si="4"/>
        <v>-11271</v>
      </c>
      <c r="E25" s="89">
        <f>20699+2900</f>
        <v>23599</v>
      </c>
      <c r="F25" s="82">
        <f t="shared" si="0"/>
        <v>190.27060270602706</v>
      </c>
      <c r="G25" s="83" t="s">
        <v>643</v>
      </c>
      <c r="H25" s="88">
        <v>14</v>
      </c>
      <c r="I25" s="88">
        <v>39</v>
      </c>
      <c r="J25" s="84">
        <f t="shared" si="1"/>
        <v>81</v>
      </c>
      <c r="K25" s="88">
        <v>120</v>
      </c>
      <c r="L25" s="82">
        <f t="shared" si="2"/>
        <v>757.1428571428571</v>
      </c>
      <c r="M25" s="81">
        <f t="shared" si="3"/>
        <v>81</v>
      </c>
      <c r="N25" s="88"/>
      <c r="O25" s="88">
        <v>81</v>
      </c>
      <c r="P25" s="88"/>
    </row>
    <row r="26" spans="1:16" s="68" customFormat="1" ht="18" customHeight="1">
      <c r="A26" s="81" t="s">
        <v>650</v>
      </c>
      <c r="B26" s="81">
        <v>93</v>
      </c>
      <c r="C26" s="60">
        <v>2500</v>
      </c>
      <c r="D26" s="81">
        <f t="shared" si="4"/>
        <v>-2290</v>
      </c>
      <c r="E26" s="90">
        <v>210</v>
      </c>
      <c r="F26" s="82">
        <f t="shared" si="0"/>
        <v>125.80645161290325</v>
      </c>
      <c r="G26" s="87" t="s">
        <v>651</v>
      </c>
      <c r="H26" s="87"/>
      <c r="I26" s="81"/>
      <c r="J26" s="84">
        <f t="shared" si="1"/>
        <v>0</v>
      </c>
      <c r="K26" s="81"/>
      <c r="L26" s="82">
        <f t="shared" si="2"/>
        <v>0</v>
      </c>
      <c r="M26" s="81">
        <f t="shared" si="3"/>
        <v>0</v>
      </c>
      <c r="N26" s="81"/>
      <c r="O26" s="81"/>
      <c r="P26" s="81"/>
    </row>
    <row r="27" spans="1:16" s="68" customFormat="1" ht="18" customHeight="1">
      <c r="A27" s="81" t="s">
        <v>652</v>
      </c>
      <c r="B27" s="81">
        <v>672</v>
      </c>
      <c r="C27" s="60">
        <v>4600</v>
      </c>
      <c r="D27" s="81">
        <f t="shared" si="4"/>
        <v>-2807</v>
      </c>
      <c r="E27" s="89">
        <v>1793</v>
      </c>
      <c r="F27" s="82">
        <f t="shared" si="0"/>
        <v>166.81547619047618</v>
      </c>
      <c r="G27" s="80" t="s">
        <v>653</v>
      </c>
      <c r="H27" s="81">
        <f>SUM(H28+H30)</f>
        <v>0</v>
      </c>
      <c r="I27" s="81">
        <f>SUM(I28+I30)</f>
        <v>0</v>
      </c>
      <c r="J27" s="84">
        <f t="shared" si="1"/>
        <v>0</v>
      </c>
      <c r="K27" s="81">
        <f>SUM(K28+K30)</f>
        <v>0</v>
      </c>
      <c r="L27" s="82">
        <f t="shared" si="2"/>
        <v>0</v>
      </c>
      <c r="M27" s="81">
        <f t="shared" si="3"/>
        <v>0</v>
      </c>
      <c r="N27" s="81">
        <f>SUM(N28+N30)</f>
        <v>0</v>
      </c>
      <c r="O27" s="81">
        <f>SUM(O28+O30)</f>
        <v>0</v>
      </c>
      <c r="P27" s="81">
        <f>SUM(P28+P30)</f>
        <v>0</v>
      </c>
    </row>
    <row r="28" spans="1:16" s="68" customFormat="1" ht="18" customHeight="1">
      <c r="A28" s="81" t="s">
        <v>654</v>
      </c>
      <c r="B28" s="81">
        <v>-416</v>
      </c>
      <c r="C28" s="60"/>
      <c r="D28" s="81">
        <f t="shared" si="4"/>
        <v>-4</v>
      </c>
      <c r="E28" s="91">
        <v>-4</v>
      </c>
      <c r="F28" s="82">
        <f t="shared" si="0"/>
        <v>-99.03846153846155</v>
      </c>
      <c r="G28" s="80" t="s">
        <v>655</v>
      </c>
      <c r="H28" s="81">
        <f>SUM(H29)</f>
        <v>0</v>
      </c>
      <c r="I28" s="81">
        <f>SUM(I29)</f>
        <v>0</v>
      </c>
      <c r="J28" s="84">
        <f t="shared" si="1"/>
        <v>0</v>
      </c>
      <c r="K28" s="81">
        <f>SUM(K29)</f>
        <v>0</v>
      </c>
      <c r="L28" s="82">
        <f t="shared" si="2"/>
        <v>0</v>
      </c>
      <c r="M28" s="81">
        <f t="shared" si="3"/>
        <v>0</v>
      </c>
      <c r="N28" s="81">
        <f>SUM(N29)</f>
        <v>0</v>
      </c>
      <c r="O28" s="81">
        <f>SUM(O29)</f>
        <v>0</v>
      </c>
      <c r="P28" s="81">
        <f>SUM(P29)</f>
        <v>0</v>
      </c>
    </row>
    <row r="29" spans="1:16" s="68" customFormat="1" ht="18" customHeight="1">
      <c r="A29" s="81" t="s">
        <v>656</v>
      </c>
      <c r="B29" s="81">
        <v>103</v>
      </c>
      <c r="C29" s="60">
        <v>1680</v>
      </c>
      <c r="D29" s="81">
        <f t="shared" si="4"/>
        <v>-1447</v>
      </c>
      <c r="E29" s="89">
        <v>233</v>
      </c>
      <c r="F29" s="82">
        <f t="shared" si="0"/>
        <v>126.21359223300969</v>
      </c>
      <c r="G29" s="80" t="s">
        <v>657</v>
      </c>
      <c r="H29" s="80"/>
      <c r="I29" s="81"/>
      <c r="J29" s="84">
        <f t="shared" si="1"/>
        <v>0</v>
      </c>
      <c r="K29" s="81"/>
      <c r="L29" s="82">
        <f t="shared" si="2"/>
        <v>0</v>
      </c>
      <c r="M29" s="81">
        <f t="shared" si="3"/>
        <v>0</v>
      </c>
      <c r="N29" s="81"/>
      <c r="O29" s="81"/>
      <c r="P29" s="81"/>
    </row>
    <row r="30" spans="1:16" s="68" customFormat="1" ht="18" customHeight="1">
      <c r="A30" s="80" t="s">
        <v>658</v>
      </c>
      <c r="B30" s="81"/>
      <c r="C30" s="81"/>
      <c r="D30" s="81">
        <f t="shared" si="4"/>
        <v>0</v>
      </c>
      <c r="E30" s="81"/>
      <c r="F30" s="82">
        <f t="shared" si="0"/>
        <v>0</v>
      </c>
      <c r="G30" s="80" t="s">
        <v>659</v>
      </c>
      <c r="H30" s="81">
        <f>SUM(H31:H34)</f>
        <v>0</v>
      </c>
      <c r="I30" s="81">
        <f>SUM(I31:I34)</f>
        <v>0</v>
      </c>
      <c r="J30" s="84">
        <f t="shared" si="1"/>
        <v>0</v>
      </c>
      <c r="K30" s="81">
        <f>SUM(K31:K34)</f>
        <v>0</v>
      </c>
      <c r="L30" s="82">
        <f t="shared" si="2"/>
        <v>0</v>
      </c>
      <c r="M30" s="81">
        <f t="shared" si="3"/>
        <v>0</v>
      </c>
      <c r="N30" s="81">
        <f>SUM(N31:N34)</f>
        <v>0</v>
      </c>
      <c r="O30" s="81">
        <f>SUM(O31:O34)</f>
        <v>0</v>
      </c>
      <c r="P30" s="81">
        <f>SUM(P31:P34)</f>
        <v>0</v>
      </c>
    </row>
    <row r="31" spans="1:16" s="68" customFormat="1" ht="18" customHeight="1">
      <c r="A31" s="80" t="s">
        <v>660</v>
      </c>
      <c r="B31" s="81">
        <f>SUM(B32:B33)</f>
        <v>0</v>
      </c>
      <c r="C31" s="81">
        <f>SUM(C32:C33)</f>
        <v>0</v>
      </c>
      <c r="D31" s="81">
        <f t="shared" si="4"/>
        <v>0</v>
      </c>
      <c r="E31" s="81">
        <f>SUM(E32:E33)</f>
        <v>0</v>
      </c>
      <c r="F31" s="82">
        <f t="shared" si="0"/>
        <v>0</v>
      </c>
      <c r="G31" s="80" t="s">
        <v>661</v>
      </c>
      <c r="H31" s="80"/>
      <c r="I31" s="81"/>
      <c r="J31" s="84">
        <f t="shared" si="1"/>
        <v>0</v>
      </c>
      <c r="K31" s="81"/>
      <c r="L31" s="82">
        <f t="shared" si="2"/>
        <v>0</v>
      </c>
      <c r="M31" s="81">
        <f t="shared" si="3"/>
        <v>0</v>
      </c>
      <c r="N31" s="81"/>
      <c r="O31" s="81"/>
      <c r="P31" s="81"/>
    </row>
    <row r="32" spans="1:16" s="68" customFormat="1" ht="18" customHeight="1">
      <c r="A32" s="81" t="s">
        <v>662</v>
      </c>
      <c r="B32" s="81"/>
      <c r="C32" s="81"/>
      <c r="D32" s="81">
        <f t="shared" si="4"/>
        <v>0</v>
      </c>
      <c r="E32" s="81"/>
      <c r="F32" s="82">
        <f t="shared" si="0"/>
        <v>0</v>
      </c>
      <c r="G32" s="80" t="s">
        <v>663</v>
      </c>
      <c r="H32" s="80"/>
      <c r="I32" s="81"/>
      <c r="J32" s="84">
        <f t="shared" si="1"/>
        <v>0</v>
      </c>
      <c r="K32" s="81"/>
      <c r="L32" s="82">
        <f t="shared" si="2"/>
        <v>0</v>
      </c>
      <c r="M32" s="81">
        <f t="shared" si="3"/>
        <v>0</v>
      </c>
      <c r="N32" s="81"/>
      <c r="O32" s="81"/>
      <c r="P32" s="81"/>
    </row>
    <row r="33" spans="1:16" s="68" customFormat="1" ht="18" customHeight="1">
      <c r="A33" s="81" t="s">
        <v>664</v>
      </c>
      <c r="B33" s="81"/>
      <c r="C33" s="81"/>
      <c r="D33" s="81">
        <f t="shared" si="4"/>
        <v>0</v>
      </c>
      <c r="E33" s="81"/>
      <c r="F33" s="82">
        <f t="shared" si="0"/>
        <v>0</v>
      </c>
      <c r="G33" s="80" t="s">
        <v>665</v>
      </c>
      <c r="H33" s="80"/>
      <c r="I33" s="81"/>
      <c r="J33" s="84">
        <f t="shared" si="1"/>
        <v>0</v>
      </c>
      <c r="K33" s="81"/>
      <c r="L33" s="82">
        <f t="shared" si="2"/>
        <v>0</v>
      </c>
      <c r="M33" s="81">
        <f t="shared" si="3"/>
        <v>0</v>
      </c>
      <c r="N33" s="81"/>
      <c r="O33" s="81"/>
      <c r="P33" s="81"/>
    </row>
    <row r="34" spans="1:16" s="68" customFormat="1" ht="18" customHeight="1">
      <c r="A34" s="80" t="s">
        <v>666</v>
      </c>
      <c r="B34" s="81"/>
      <c r="C34" s="81"/>
      <c r="D34" s="81">
        <f t="shared" si="4"/>
        <v>0</v>
      </c>
      <c r="E34" s="81"/>
      <c r="F34" s="82">
        <f t="shared" si="0"/>
        <v>0</v>
      </c>
      <c r="G34" s="80" t="s">
        <v>667</v>
      </c>
      <c r="H34" s="80"/>
      <c r="I34" s="81"/>
      <c r="J34" s="84">
        <f t="shared" si="1"/>
        <v>0</v>
      </c>
      <c r="K34" s="81"/>
      <c r="L34" s="82">
        <f t="shared" si="2"/>
        <v>0</v>
      </c>
      <c r="M34" s="81">
        <f t="shared" si="3"/>
        <v>0</v>
      </c>
      <c r="N34" s="81"/>
      <c r="O34" s="81"/>
      <c r="P34" s="81"/>
    </row>
    <row r="35" spans="1:16" s="68" customFormat="1" ht="18" customHeight="1">
      <c r="A35" s="80" t="s">
        <v>668</v>
      </c>
      <c r="B35" s="81"/>
      <c r="C35" s="81"/>
      <c r="D35" s="81">
        <f t="shared" si="4"/>
        <v>0</v>
      </c>
      <c r="E35" s="81"/>
      <c r="F35" s="82">
        <f t="shared" si="0"/>
        <v>0</v>
      </c>
      <c r="G35" s="268" t="s">
        <v>669</v>
      </c>
      <c r="H35" s="92">
        <f>SUM(H36+H43+H59+H65+H69+H70+H75+H79)</f>
        <v>9475</v>
      </c>
      <c r="I35" s="92">
        <f>SUM(I36+I43+I59+I65+I69+I70+I75+I79)</f>
        <v>18462</v>
      </c>
      <c r="J35" s="84">
        <f t="shared" si="1"/>
        <v>-127</v>
      </c>
      <c r="K35" s="92">
        <f>SUM(K36+K43+K59+K65+K69+K70+K75+K79)</f>
        <v>18335</v>
      </c>
      <c r="L35" s="82">
        <f t="shared" si="2"/>
        <v>93.50923482849605</v>
      </c>
      <c r="M35" s="81">
        <f t="shared" si="3"/>
        <v>-12660</v>
      </c>
      <c r="N35" s="92">
        <f>SUM(N36+N43+N59+N65+N69+N70+N75+N79)</f>
        <v>-13771</v>
      </c>
      <c r="O35" s="92">
        <f>SUM(O36+O43+O59+O65+O69+O70+O75+O79)</f>
        <v>1111</v>
      </c>
      <c r="P35" s="92">
        <f>SUM(P36+P43+P59+P65+P69+P70+P75+P79)</f>
        <v>0</v>
      </c>
    </row>
    <row r="36" spans="1:16" s="68" customFormat="1" ht="18" customHeight="1">
      <c r="A36" s="80" t="s">
        <v>670</v>
      </c>
      <c r="B36" s="81">
        <f>SUM(B37:B39)</f>
        <v>0</v>
      </c>
      <c r="C36" s="81">
        <f>SUM(C37:C39)</f>
        <v>0</v>
      </c>
      <c r="D36" s="81">
        <f t="shared" si="4"/>
        <v>0</v>
      </c>
      <c r="E36" s="81">
        <f>SUM(E37:E39)</f>
        <v>0</v>
      </c>
      <c r="F36" s="82">
        <f t="shared" si="0"/>
        <v>0</v>
      </c>
      <c r="G36" s="80" t="s">
        <v>671</v>
      </c>
      <c r="H36" s="81">
        <f>SUM(H37:H42)</f>
        <v>0</v>
      </c>
      <c r="I36" s="81">
        <f>SUM(I37:I42)</f>
        <v>0</v>
      </c>
      <c r="J36" s="84">
        <f t="shared" si="1"/>
        <v>0</v>
      </c>
      <c r="K36" s="81">
        <f>SUM(K37:K42)</f>
        <v>0</v>
      </c>
      <c r="L36" s="82">
        <f t="shared" si="2"/>
        <v>0</v>
      </c>
      <c r="M36" s="81">
        <f t="shared" si="3"/>
        <v>0</v>
      </c>
      <c r="N36" s="81">
        <f>SUM(N37:N42)</f>
        <v>0</v>
      </c>
      <c r="O36" s="81">
        <f>SUM(O37:O42)</f>
        <v>0</v>
      </c>
      <c r="P36" s="81">
        <f>SUM(P37:P42)</f>
        <v>0</v>
      </c>
    </row>
    <row r="37" spans="1:16" s="68" customFormat="1" ht="18" customHeight="1">
      <c r="A37" s="81" t="s">
        <v>672</v>
      </c>
      <c r="B37" s="81"/>
      <c r="C37" s="81"/>
      <c r="D37" s="81">
        <f t="shared" si="4"/>
        <v>0</v>
      </c>
      <c r="E37" s="81"/>
      <c r="F37" s="82">
        <f t="shared" si="0"/>
        <v>0</v>
      </c>
      <c r="G37" s="87" t="s">
        <v>673</v>
      </c>
      <c r="H37" s="87"/>
      <c r="I37" s="81"/>
      <c r="J37" s="84">
        <f t="shared" si="1"/>
        <v>0</v>
      </c>
      <c r="K37" s="81"/>
      <c r="L37" s="82">
        <f t="shared" si="2"/>
        <v>0</v>
      </c>
      <c r="M37" s="81">
        <f t="shared" si="3"/>
        <v>0</v>
      </c>
      <c r="N37" s="81"/>
      <c r="O37" s="81"/>
      <c r="P37" s="81"/>
    </row>
    <row r="38" spans="1:16" s="68" customFormat="1" ht="18" customHeight="1">
      <c r="A38" s="81" t="s">
        <v>674</v>
      </c>
      <c r="B38" s="81"/>
      <c r="C38" s="81"/>
      <c r="D38" s="81">
        <f t="shared" si="4"/>
        <v>0</v>
      </c>
      <c r="E38" s="81"/>
      <c r="F38" s="82">
        <f t="shared" si="0"/>
        <v>0</v>
      </c>
      <c r="G38" s="87" t="s">
        <v>675</v>
      </c>
      <c r="H38" s="87"/>
      <c r="I38" s="81"/>
      <c r="J38" s="84">
        <f t="shared" si="1"/>
        <v>0</v>
      </c>
      <c r="K38" s="81"/>
      <c r="L38" s="82">
        <f t="shared" si="2"/>
        <v>0</v>
      </c>
      <c r="M38" s="81">
        <f t="shared" si="3"/>
        <v>0</v>
      </c>
      <c r="N38" s="81"/>
      <c r="O38" s="81"/>
      <c r="P38" s="81"/>
    </row>
    <row r="39" spans="1:16" s="68" customFormat="1" ht="18" customHeight="1">
      <c r="A39" s="81" t="s">
        <v>676</v>
      </c>
      <c r="B39" s="81"/>
      <c r="C39" s="81"/>
      <c r="D39" s="81">
        <f t="shared" si="4"/>
        <v>0</v>
      </c>
      <c r="E39" s="81"/>
      <c r="F39" s="82">
        <f t="shared" si="0"/>
        <v>0</v>
      </c>
      <c r="G39" s="93" t="s">
        <v>677</v>
      </c>
      <c r="H39" s="93"/>
      <c r="I39" s="81"/>
      <c r="J39" s="84">
        <f t="shared" si="1"/>
        <v>0</v>
      </c>
      <c r="K39" s="81"/>
      <c r="L39" s="82">
        <f t="shared" si="2"/>
        <v>0</v>
      </c>
      <c r="M39" s="81">
        <f t="shared" si="3"/>
        <v>0</v>
      </c>
      <c r="N39" s="81"/>
      <c r="O39" s="81"/>
      <c r="P39" s="81"/>
    </row>
    <row r="40" spans="1:16" s="68" customFormat="1" ht="18" customHeight="1">
      <c r="A40" s="80" t="s">
        <v>678</v>
      </c>
      <c r="B40" s="81"/>
      <c r="C40" s="81"/>
      <c r="D40" s="81">
        <f t="shared" si="4"/>
        <v>0</v>
      </c>
      <c r="E40" s="81"/>
      <c r="F40" s="82">
        <f t="shared" si="0"/>
        <v>0</v>
      </c>
      <c r="G40" s="93" t="s">
        <v>679</v>
      </c>
      <c r="H40" s="93"/>
      <c r="I40" s="81"/>
      <c r="J40" s="84">
        <f t="shared" si="1"/>
        <v>0</v>
      </c>
      <c r="K40" s="81"/>
      <c r="L40" s="82">
        <f t="shared" si="2"/>
        <v>0</v>
      </c>
      <c r="M40" s="81">
        <f t="shared" si="3"/>
        <v>0</v>
      </c>
      <c r="N40" s="81"/>
      <c r="O40" s="81"/>
      <c r="P40" s="81"/>
    </row>
    <row r="41" spans="1:16" s="68" customFormat="1" ht="18" customHeight="1">
      <c r="A41" s="80" t="s">
        <v>680</v>
      </c>
      <c r="B41" s="81"/>
      <c r="C41" s="81"/>
      <c r="D41" s="81">
        <f t="shared" si="4"/>
        <v>0</v>
      </c>
      <c r="E41" s="81"/>
      <c r="F41" s="82">
        <f t="shared" si="0"/>
        <v>0</v>
      </c>
      <c r="G41" s="93" t="s">
        <v>681</v>
      </c>
      <c r="H41" s="93"/>
      <c r="I41" s="81"/>
      <c r="J41" s="84">
        <f t="shared" si="1"/>
        <v>0</v>
      </c>
      <c r="K41" s="81"/>
      <c r="L41" s="82">
        <f t="shared" si="2"/>
        <v>0</v>
      </c>
      <c r="M41" s="81">
        <f t="shared" si="3"/>
        <v>0</v>
      </c>
      <c r="N41" s="81"/>
      <c r="O41" s="81"/>
      <c r="P41" s="81"/>
    </row>
    <row r="42" spans="1:16" s="68" customFormat="1" ht="18" customHeight="1">
      <c r="A42" s="80" t="s">
        <v>682</v>
      </c>
      <c r="B42" s="81"/>
      <c r="C42" s="81"/>
      <c r="D42" s="81">
        <f t="shared" si="4"/>
        <v>0</v>
      </c>
      <c r="E42" s="81"/>
      <c r="F42" s="82">
        <f t="shared" si="0"/>
        <v>0</v>
      </c>
      <c r="G42" s="87" t="s">
        <v>683</v>
      </c>
      <c r="H42" s="87"/>
      <c r="I42" s="81"/>
      <c r="J42" s="84">
        <f t="shared" si="1"/>
        <v>0</v>
      </c>
      <c r="K42" s="81"/>
      <c r="L42" s="82">
        <f t="shared" si="2"/>
        <v>0</v>
      </c>
      <c r="M42" s="81">
        <f t="shared" si="3"/>
        <v>0</v>
      </c>
      <c r="N42" s="81"/>
      <c r="O42" s="81"/>
      <c r="P42" s="81"/>
    </row>
    <row r="43" spans="1:16" s="68" customFormat="1" ht="18" customHeight="1">
      <c r="A43" s="269" t="s">
        <v>684</v>
      </c>
      <c r="B43" s="81">
        <v>627</v>
      </c>
      <c r="C43" s="81">
        <v>590</v>
      </c>
      <c r="D43" s="81">
        <f t="shared" si="4"/>
        <v>0</v>
      </c>
      <c r="E43" s="81">
        <v>590</v>
      </c>
      <c r="F43" s="82">
        <f t="shared" si="0"/>
        <v>-5.901116427432218</v>
      </c>
      <c r="G43" s="268" t="s">
        <v>685</v>
      </c>
      <c r="H43" s="81">
        <f>SUM(H44:H58)</f>
        <v>9156</v>
      </c>
      <c r="I43" s="81">
        <f>SUM(I44:I58)</f>
        <v>17072</v>
      </c>
      <c r="J43" s="81">
        <f>SUM(J44:J58)</f>
        <v>-284</v>
      </c>
      <c r="K43" s="81">
        <f>SUM(K44:K58)</f>
        <v>16788</v>
      </c>
      <c r="L43" s="82">
        <f t="shared" si="2"/>
        <v>83.35517693315859</v>
      </c>
      <c r="M43" s="81">
        <f t="shared" si="3"/>
        <v>-10637</v>
      </c>
      <c r="N43" s="81">
        <f>SUM(N44:N58)</f>
        <v>-11746</v>
      </c>
      <c r="O43" s="81">
        <f>SUM(O44:O58)</f>
        <v>1111</v>
      </c>
      <c r="P43" s="81">
        <f>SUM(P44:P58)</f>
        <v>-2</v>
      </c>
    </row>
    <row r="44" spans="1:16" s="68" customFormat="1" ht="18" customHeight="1">
      <c r="A44" s="268" t="s">
        <v>686</v>
      </c>
      <c r="B44" s="81">
        <v>660</v>
      </c>
      <c r="C44" s="81"/>
      <c r="D44" s="81">
        <f t="shared" si="4"/>
        <v>0</v>
      </c>
      <c r="E44" s="81"/>
      <c r="F44" s="82">
        <f t="shared" si="0"/>
        <v>-100</v>
      </c>
      <c r="G44" s="87" t="s">
        <v>687</v>
      </c>
      <c r="H44" s="81">
        <v>2066</v>
      </c>
      <c r="I44" s="60">
        <v>4500</v>
      </c>
      <c r="J44" s="84">
        <f t="shared" si="1"/>
        <v>0</v>
      </c>
      <c r="K44" s="60">
        <v>4500</v>
      </c>
      <c r="L44" s="82">
        <f t="shared" si="2"/>
        <v>117.81219748305904</v>
      </c>
      <c r="M44" s="81">
        <f t="shared" si="3"/>
        <v>-6746</v>
      </c>
      <c r="N44" s="81">
        <v>-6746</v>
      </c>
      <c r="O44" s="81"/>
      <c r="P44" s="81"/>
    </row>
    <row r="45" spans="1:16" s="68" customFormat="1" ht="18" customHeight="1">
      <c r="A45" s="268" t="s">
        <v>688</v>
      </c>
      <c r="B45" s="81">
        <v>700</v>
      </c>
      <c r="C45" s="81"/>
      <c r="D45" s="81">
        <f t="shared" si="4"/>
        <v>148</v>
      </c>
      <c r="E45" s="81">
        <v>148</v>
      </c>
      <c r="F45" s="82">
        <f t="shared" si="0"/>
        <v>-78.85714285714286</v>
      </c>
      <c r="G45" s="87" t="s">
        <v>689</v>
      </c>
      <c r="H45" s="81">
        <v>662</v>
      </c>
      <c r="I45" s="60">
        <v>300</v>
      </c>
      <c r="J45" s="84">
        <f t="shared" si="1"/>
        <v>1530</v>
      </c>
      <c r="K45" s="60">
        <v>1830</v>
      </c>
      <c r="L45" s="82">
        <f t="shared" si="2"/>
        <v>176.43504531722053</v>
      </c>
      <c r="M45" s="81">
        <f t="shared" si="3"/>
        <v>0</v>
      </c>
      <c r="N45" s="81"/>
      <c r="O45" s="81"/>
      <c r="P45" s="81"/>
    </row>
    <row r="46" spans="1:16" s="68" customFormat="1" ht="18" customHeight="1">
      <c r="A46" s="81" t="s">
        <v>690</v>
      </c>
      <c r="B46" s="81"/>
      <c r="C46" s="81"/>
      <c r="D46" s="81"/>
      <c r="E46" s="81"/>
      <c r="F46" s="82">
        <f t="shared" si="0"/>
        <v>0</v>
      </c>
      <c r="G46" s="87" t="s">
        <v>691</v>
      </c>
      <c r="H46" s="81">
        <v>95</v>
      </c>
      <c r="I46" s="60"/>
      <c r="J46" s="84">
        <f t="shared" si="1"/>
        <v>0</v>
      </c>
      <c r="K46" s="60"/>
      <c r="L46" s="82">
        <f t="shared" si="2"/>
        <v>-100</v>
      </c>
      <c r="M46" s="81">
        <f t="shared" si="3"/>
        <v>0</v>
      </c>
      <c r="N46" s="81"/>
      <c r="O46" s="81"/>
      <c r="P46" s="81"/>
    </row>
    <row r="47" spans="1:16" s="68" customFormat="1" ht="18" customHeight="1">
      <c r="A47" s="81" t="s">
        <v>690</v>
      </c>
      <c r="B47" s="81"/>
      <c r="C47" s="81"/>
      <c r="D47" s="81"/>
      <c r="E47" s="81"/>
      <c r="F47" s="82">
        <f t="shared" si="0"/>
        <v>0</v>
      </c>
      <c r="G47" s="87" t="s">
        <v>692</v>
      </c>
      <c r="H47" s="81">
        <v>1998</v>
      </c>
      <c r="I47" s="60">
        <v>6938</v>
      </c>
      <c r="J47" s="84">
        <f t="shared" si="1"/>
        <v>-940</v>
      </c>
      <c r="K47" s="60">
        <f>6739-741</f>
        <v>5998</v>
      </c>
      <c r="L47" s="82">
        <f t="shared" si="2"/>
        <v>200.20020020020021</v>
      </c>
      <c r="M47" s="81">
        <f t="shared" si="3"/>
        <v>1009</v>
      </c>
      <c r="N47" s="81"/>
      <c r="O47" s="81">
        <v>1011</v>
      </c>
      <c r="P47" s="81">
        <v>-2</v>
      </c>
    </row>
    <row r="48" spans="1:16" s="68" customFormat="1" ht="18" customHeight="1">
      <c r="A48" s="81" t="s">
        <v>690</v>
      </c>
      <c r="B48" s="81"/>
      <c r="C48" s="81"/>
      <c r="D48" s="81"/>
      <c r="E48" s="81"/>
      <c r="F48" s="82">
        <f t="shared" si="0"/>
        <v>0</v>
      </c>
      <c r="G48" s="87" t="s">
        <v>693</v>
      </c>
      <c r="H48" s="81">
        <v>0</v>
      </c>
      <c r="I48" s="60">
        <v>2128</v>
      </c>
      <c r="J48" s="84">
        <f t="shared" si="1"/>
        <v>-2128</v>
      </c>
      <c r="K48" s="60"/>
      <c r="L48" s="82">
        <f t="shared" si="2"/>
        <v>0</v>
      </c>
      <c r="M48" s="81">
        <f t="shared" si="3"/>
        <v>0</v>
      </c>
      <c r="N48" s="81"/>
      <c r="O48" s="81"/>
      <c r="P48" s="81"/>
    </row>
    <row r="49" spans="1:16" s="68" customFormat="1" ht="18" customHeight="1">
      <c r="A49" s="81" t="s">
        <v>690</v>
      </c>
      <c r="B49" s="81"/>
      <c r="C49" s="81"/>
      <c r="D49" s="81"/>
      <c r="E49" s="81"/>
      <c r="F49" s="82">
        <f t="shared" si="0"/>
        <v>0</v>
      </c>
      <c r="G49" s="87" t="s">
        <v>694</v>
      </c>
      <c r="H49" s="81">
        <v>382</v>
      </c>
      <c r="I49" s="60">
        <v>42</v>
      </c>
      <c r="J49" s="84">
        <f t="shared" si="1"/>
        <v>-30</v>
      </c>
      <c r="K49" s="60">
        <v>12</v>
      </c>
      <c r="L49" s="82">
        <f t="shared" si="2"/>
        <v>-96.8586387434555</v>
      </c>
      <c r="M49" s="81">
        <f t="shared" si="3"/>
        <v>0</v>
      </c>
      <c r="N49" s="81"/>
      <c r="O49" s="81"/>
      <c r="P49" s="81"/>
    </row>
    <row r="50" spans="1:16" s="68" customFormat="1" ht="18" customHeight="1">
      <c r="A50" s="83" t="s">
        <v>690</v>
      </c>
      <c r="B50" s="83"/>
      <c r="C50" s="81"/>
      <c r="D50" s="81"/>
      <c r="E50" s="81"/>
      <c r="F50" s="82">
        <f t="shared" si="0"/>
        <v>0</v>
      </c>
      <c r="G50" s="87" t="s">
        <v>675</v>
      </c>
      <c r="H50" s="81">
        <v>0</v>
      </c>
      <c r="I50" s="60"/>
      <c r="J50" s="84">
        <f aca="true" t="shared" si="5" ref="J50:J57">K50-I50</f>
        <v>0</v>
      </c>
      <c r="K50" s="60"/>
      <c r="L50" s="82">
        <f t="shared" si="2"/>
        <v>0</v>
      </c>
      <c r="M50" s="81">
        <f t="shared" si="3"/>
        <v>0</v>
      </c>
      <c r="N50" s="81"/>
      <c r="O50" s="81"/>
      <c r="P50" s="81"/>
    </row>
    <row r="51" spans="1:16" s="68" customFormat="1" ht="18" customHeight="1">
      <c r="A51" s="83" t="s">
        <v>690</v>
      </c>
      <c r="B51" s="83"/>
      <c r="C51" s="81"/>
      <c r="D51" s="81"/>
      <c r="E51" s="81"/>
      <c r="F51" s="82">
        <f t="shared" si="0"/>
        <v>0</v>
      </c>
      <c r="G51" s="87" t="s">
        <v>695</v>
      </c>
      <c r="H51" s="81">
        <v>203</v>
      </c>
      <c r="I51" s="60"/>
      <c r="J51" s="84">
        <f t="shared" si="5"/>
        <v>3</v>
      </c>
      <c r="K51" s="60">
        <v>3</v>
      </c>
      <c r="L51" s="82">
        <f t="shared" si="2"/>
        <v>-98.52216748768473</v>
      </c>
      <c r="M51" s="81">
        <f t="shared" si="3"/>
        <v>0</v>
      </c>
      <c r="N51" s="81"/>
      <c r="O51" s="81"/>
      <c r="P51" s="81"/>
    </row>
    <row r="52" spans="1:16" s="68" customFormat="1" ht="18" customHeight="1">
      <c r="A52" s="83"/>
      <c r="B52" s="83"/>
      <c r="C52" s="81"/>
      <c r="D52" s="81"/>
      <c r="E52" s="81"/>
      <c r="F52" s="82">
        <f t="shared" si="0"/>
        <v>0</v>
      </c>
      <c r="G52" s="270" t="s">
        <v>696</v>
      </c>
      <c r="H52" s="81"/>
      <c r="I52" s="60"/>
      <c r="J52" s="84">
        <f t="shared" si="5"/>
        <v>0</v>
      </c>
      <c r="K52" s="60"/>
      <c r="L52" s="82">
        <f t="shared" si="2"/>
        <v>0</v>
      </c>
      <c r="M52" s="81">
        <f t="shared" si="3"/>
        <v>0</v>
      </c>
      <c r="N52" s="81"/>
      <c r="O52" s="81"/>
      <c r="P52" s="81"/>
    </row>
    <row r="53" spans="1:16" s="68" customFormat="1" ht="18" customHeight="1">
      <c r="A53" s="83"/>
      <c r="B53" s="83"/>
      <c r="C53" s="81"/>
      <c r="D53" s="81"/>
      <c r="E53" s="81"/>
      <c r="F53" s="82">
        <f t="shared" si="0"/>
        <v>0</v>
      </c>
      <c r="G53" s="93" t="s">
        <v>677</v>
      </c>
      <c r="H53" s="81"/>
      <c r="I53" s="60"/>
      <c r="J53" s="84">
        <f t="shared" si="5"/>
        <v>0</v>
      </c>
      <c r="K53" s="60"/>
      <c r="L53" s="82">
        <f t="shared" si="2"/>
        <v>0</v>
      </c>
      <c r="M53" s="81">
        <f t="shared" si="3"/>
        <v>0</v>
      </c>
      <c r="N53" s="81"/>
      <c r="O53" s="81"/>
      <c r="P53" s="81"/>
    </row>
    <row r="54" spans="1:16" s="68" customFormat="1" ht="18" customHeight="1">
      <c r="A54" s="83"/>
      <c r="B54" s="83"/>
      <c r="C54" s="81"/>
      <c r="D54" s="81"/>
      <c r="E54" s="81"/>
      <c r="F54" s="82">
        <f t="shared" si="0"/>
        <v>0</v>
      </c>
      <c r="G54" s="93" t="s">
        <v>681</v>
      </c>
      <c r="H54" s="81"/>
      <c r="I54" s="60"/>
      <c r="J54" s="84">
        <f t="shared" si="5"/>
        <v>0</v>
      </c>
      <c r="K54" s="60"/>
      <c r="L54" s="82">
        <f t="shared" si="2"/>
        <v>0</v>
      </c>
      <c r="M54" s="81">
        <f t="shared" si="3"/>
        <v>0</v>
      </c>
      <c r="N54" s="81"/>
      <c r="O54" s="81"/>
      <c r="P54" s="81"/>
    </row>
    <row r="55" spans="1:16" s="68" customFormat="1" ht="18" customHeight="1">
      <c r="A55" s="83"/>
      <c r="B55" s="83"/>
      <c r="C55" s="81"/>
      <c r="D55" s="81"/>
      <c r="E55" s="81"/>
      <c r="F55" s="82"/>
      <c r="G55" s="93" t="s">
        <v>697</v>
      </c>
      <c r="H55" s="81">
        <v>100</v>
      </c>
      <c r="I55" s="60"/>
      <c r="J55" s="84">
        <f t="shared" si="5"/>
        <v>0</v>
      </c>
      <c r="K55" s="60"/>
      <c r="L55" s="82"/>
      <c r="M55" s="81">
        <f t="shared" si="3"/>
        <v>100</v>
      </c>
      <c r="N55" s="81"/>
      <c r="O55" s="81">
        <v>100</v>
      </c>
      <c r="P55" s="81"/>
    </row>
    <row r="56" spans="1:16" s="68" customFormat="1" ht="18" customHeight="1">
      <c r="A56" s="83"/>
      <c r="B56" s="83"/>
      <c r="C56" s="81"/>
      <c r="D56" s="81"/>
      <c r="E56" s="81"/>
      <c r="F56" s="82"/>
      <c r="G56" s="93" t="s">
        <v>698</v>
      </c>
      <c r="H56" s="81"/>
      <c r="I56" s="60"/>
      <c r="J56" s="84">
        <f t="shared" si="5"/>
        <v>0</v>
      </c>
      <c r="K56" s="60"/>
      <c r="L56" s="82"/>
      <c r="M56" s="81"/>
      <c r="N56" s="81"/>
      <c r="O56" s="81"/>
      <c r="P56" s="81"/>
    </row>
    <row r="57" spans="1:16" s="68" customFormat="1" ht="18" customHeight="1">
      <c r="A57" s="83"/>
      <c r="B57" s="83"/>
      <c r="C57" s="81"/>
      <c r="D57" s="81"/>
      <c r="E57" s="81"/>
      <c r="F57" s="82"/>
      <c r="G57" s="93" t="s">
        <v>699</v>
      </c>
      <c r="H57" s="81">
        <v>387</v>
      </c>
      <c r="I57" s="60">
        <v>800</v>
      </c>
      <c r="J57" s="84">
        <f t="shared" si="5"/>
        <v>-265</v>
      </c>
      <c r="K57" s="60">
        <v>535</v>
      </c>
      <c r="L57" s="82"/>
      <c r="M57" s="81"/>
      <c r="N57" s="81"/>
      <c r="O57" s="81"/>
      <c r="P57" s="81"/>
    </row>
    <row r="58" spans="1:16" s="68" customFormat="1" ht="18" customHeight="1">
      <c r="A58" s="83"/>
      <c r="B58" s="83"/>
      <c r="C58" s="81"/>
      <c r="D58" s="81"/>
      <c r="E58" s="81"/>
      <c r="F58" s="82">
        <f aca="true" t="shared" si="6" ref="F58:F72">IF(B58=0,0,SUM(E58/B58-1)*100)</f>
        <v>0</v>
      </c>
      <c r="G58" s="87" t="s">
        <v>700</v>
      </c>
      <c r="H58" s="89">
        <v>3263</v>
      </c>
      <c r="I58" s="60">
        <v>2364</v>
      </c>
      <c r="J58" s="84">
        <f aca="true" t="shared" si="7" ref="J58:J78">K58-I58</f>
        <v>1546</v>
      </c>
      <c r="K58" s="60">
        <f>3975-65</f>
        <v>3910</v>
      </c>
      <c r="L58" s="82">
        <f aca="true" t="shared" si="8" ref="L58:L78">IF(H58=0,0,SUM(K58/H58-1)*100)</f>
        <v>19.828378792522216</v>
      </c>
      <c r="M58" s="81">
        <f aca="true" t="shared" si="9" ref="M58:M72">N58+O58+P58</f>
        <v>-5000</v>
      </c>
      <c r="N58" s="81">
        <v>-5000</v>
      </c>
      <c r="O58" s="81"/>
      <c r="P58" s="81"/>
    </row>
    <row r="59" spans="1:16" s="68" customFormat="1" ht="18" customHeight="1">
      <c r="A59" s="83"/>
      <c r="B59" s="83"/>
      <c r="C59" s="81"/>
      <c r="D59" s="81"/>
      <c r="E59" s="81"/>
      <c r="F59" s="82">
        <f t="shared" si="6"/>
        <v>0</v>
      </c>
      <c r="G59" s="80" t="s">
        <v>701</v>
      </c>
      <c r="H59" s="81">
        <f>SUM(H60:H64)</f>
        <v>0</v>
      </c>
      <c r="I59" s="81">
        <f>SUM(I60:I64)</f>
        <v>0</v>
      </c>
      <c r="J59" s="84">
        <f t="shared" si="7"/>
        <v>0</v>
      </c>
      <c r="K59" s="81">
        <f>SUM(K60:K64)</f>
        <v>0</v>
      </c>
      <c r="L59" s="82">
        <f t="shared" si="8"/>
        <v>0</v>
      </c>
      <c r="M59" s="81">
        <f t="shared" si="9"/>
        <v>0</v>
      </c>
      <c r="N59" s="81">
        <f>SUM(N60:N64)</f>
        <v>0</v>
      </c>
      <c r="O59" s="81">
        <f>SUM(O60:O64)</f>
        <v>0</v>
      </c>
      <c r="P59" s="81">
        <f>SUM(P60:P64)</f>
        <v>0</v>
      </c>
    </row>
    <row r="60" spans="1:16" s="68" customFormat="1" ht="18" customHeight="1">
      <c r="A60" s="83"/>
      <c r="B60" s="83"/>
      <c r="C60" s="81"/>
      <c r="D60" s="81"/>
      <c r="E60" s="81"/>
      <c r="F60" s="82">
        <f t="shared" si="6"/>
        <v>0</v>
      </c>
      <c r="G60" s="87" t="s">
        <v>702</v>
      </c>
      <c r="H60" s="87"/>
      <c r="I60" s="81"/>
      <c r="J60" s="84">
        <f t="shared" si="7"/>
        <v>0</v>
      </c>
      <c r="K60" s="81"/>
      <c r="L60" s="82">
        <f t="shared" si="8"/>
        <v>0</v>
      </c>
      <c r="M60" s="81">
        <f t="shared" si="9"/>
        <v>0</v>
      </c>
      <c r="N60" s="81"/>
      <c r="O60" s="81"/>
      <c r="P60" s="81"/>
    </row>
    <row r="61" spans="1:16" s="68" customFormat="1" ht="18" customHeight="1">
      <c r="A61" s="83"/>
      <c r="B61" s="83"/>
      <c r="C61" s="81"/>
      <c r="D61" s="81"/>
      <c r="E61" s="81"/>
      <c r="F61" s="82">
        <f t="shared" si="6"/>
        <v>0</v>
      </c>
      <c r="G61" s="87" t="s">
        <v>703</v>
      </c>
      <c r="H61" s="87"/>
      <c r="I61" s="81"/>
      <c r="J61" s="84">
        <f t="shared" si="7"/>
        <v>0</v>
      </c>
      <c r="K61" s="81"/>
      <c r="L61" s="82">
        <f t="shared" si="8"/>
        <v>0</v>
      </c>
      <c r="M61" s="81">
        <f t="shared" si="9"/>
        <v>0</v>
      </c>
      <c r="N61" s="81"/>
      <c r="O61" s="81"/>
      <c r="P61" s="81"/>
    </row>
    <row r="62" spans="1:16" s="68" customFormat="1" ht="18" customHeight="1">
      <c r="A62" s="83"/>
      <c r="B62" s="83"/>
      <c r="C62" s="81"/>
      <c r="D62" s="81"/>
      <c r="E62" s="81"/>
      <c r="F62" s="82">
        <f t="shared" si="6"/>
        <v>0</v>
      </c>
      <c r="G62" s="87" t="s">
        <v>704</v>
      </c>
      <c r="H62" s="87"/>
      <c r="I62" s="81"/>
      <c r="J62" s="84">
        <f t="shared" si="7"/>
        <v>0</v>
      </c>
      <c r="K62" s="81"/>
      <c r="L62" s="82">
        <f t="shared" si="8"/>
        <v>0</v>
      </c>
      <c r="M62" s="81">
        <f t="shared" si="9"/>
        <v>0</v>
      </c>
      <c r="N62" s="81"/>
      <c r="O62" s="81"/>
      <c r="P62" s="81"/>
    </row>
    <row r="63" spans="1:16" s="68" customFormat="1" ht="18" customHeight="1">
      <c r="A63" s="83"/>
      <c r="B63" s="83"/>
      <c r="C63" s="81"/>
      <c r="D63" s="81"/>
      <c r="E63" s="81"/>
      <c r="F63" s="82">
        <f t="shared" si="6"/>
        <v>0</v>
      </c>
      <c r="G63" s="87" t="s">
        <v>705</v>
      </c>
      <c r="H63" s="87"/>
      <c r="I63" s="81"/>
      <c r="J63" s="84">
        <f t="shared" si="7"/>
        <v>0</v>
      </c>
      <c r="K63" s="81"/>
      <c r="L63" s="82">
        <f t="shared" si="8"/>
        <v>0</v>
      </c>
      <c r="M63" s="81">
        <f t="shared" si="9"/>
        <v>0</v>
      </c>
      <c r="N63" s="81"/>
      <c r="O63" s="81"/>
      <c r="P63" s="81"/>
    </row>
    <row r="64" spans="1:16" s="68" customFormat="1" ht="18" customHeight="1">
      <c r="A64" s="83"/>
      <c r="B64" s="83"/>
      <c r="C64" s="81"/>
      <c r="D64" s="81"/>
      <c r="E64" s="81"/>
      <c r="F64" s="82">
        <f t="shared" si="6"/>
        <v>0</v>
      </c>
      <c r="G64" s="87" t="s">
        <v>706</v>
      </c>
      <c r="H64" s="87"/>
      <c r="I64" s="81"/>
      <c r="J64" s="84">
        <f t="shared" si="7"/>
        <v>0</v>
      </c>
      <c r="K64" s="81"/>
      <c r="L64" s="82">
        <f t="shared" si="8"/>
        <v>0</v>
      </c>
      <c r="M64" s="81">
        <f t="shared" si="9"/>
        <v>0</v>
      </c>
      <c r="N64" s="81"/>
      <c r="O64" s="81"/>
      <c r="P64" s="81"/>
    </row>
    <row r="65" spans="1:16" s="68" customFormat="1" ht="18" customHeight="1">
      <c r="A65" s="80"/>
      <c r="B65" s="80"/>
      <c r="C65" s="81"/>
      <c r="D65" s="81"/>
      <c r="E65" s="81"/>
      <c r="F65" s="82">
        <f t="shared" si="6"/>
        <v>0</v>
      </c>
      <c r="G65" s="80" t="s">
        <v>707</v>
      </c>
      <c r="H65" s="81">
        <f>SUM(H66:H68)</f>
        <v>0</v>
      </c>
      <c r="I65" s="81">
        <f>SUM(I66:I68)</f>
        <v>760</v>
      </c>
      <c r="J65" s="84">
        <f t="shared" si="7"/>
        <v>-760</v>
      </c>
      <c r="K65" s="81">
        <f>SUM(K66:K68)</f>
        <v>0</v>
      </c>
      <c r="L65" s="82">
        <f t="shared" si="8"/>
        <v>0</v>
      </c>
      <c r="M65" s="81">
        <f t="shared" si="9"/>
        <v>-1940</v>
      </c>
      <c r="N65" s="81">
        <v>-1940</v>
      </c>
      <c r="O65" s="81">
        <f>SUM(O66:O68)</f>
        <v>0</v>
      </c>
      <c r="P65" s="81">
        <f>SUM(P66:P68)</f>
        <v>0</v>
      </c>
    </row>
    <row r="66" spans="1:16" s="68" customFormat="1" ht="18" customHeight="1">
      <c r="A66" s="80"/>
      <c r="B66" s="80"/>
      <c r="C66" s="81"/>
      <c r="D66" s="81"/>
      <c r="E66" s="81"/>
      <c r="F66" s="82">
        <f t="shared" si="6"/>
        <v>0</v>
      </c>
      <c r="G66" s="87" t="s">
        <v>708</v>
      </c>
      <c r="H66" s="81"/>
      <c r="I66" s="81">
        <v>760</v>
      </c>
      <c r="J66" s="84">
        <f t="shared" si="7"/>
        <v>-760</v>
      </c>
      <c r="K66" s="81"/>
      <c r="L66" s="82">
        <f t="shared" si="8"/>
        <v>0</v>
      </c>
      <c r="M66" s="81">
        <f t="shared" si="9"/>
        <v>-1940</v>
      </c>
      <c r="N66" s="81">
        <v>-1940</v>
      </c>
      <c r="O66" s="81"/>
      <c r="P66" s="81"/>
    </row>
    <row r="67" spans="1:16" s="68" customFormat="1" ht="18" customHeight="1">
      <c r="A67" s="80"/>
      <c r="B67" s="80"/>
      <c r="C67" s="81"/>
      <c r="D67" s="81"/>
      <c r="E67" s="81"/>
      <c r="F67" s="82">
        <f t="shared" si="6"/>
        <v>0</v>
      </c>
      <c r="G67" s="87" t="s">
        <v>709</v>
      </c>
      <c r="H67" s="81"/>
      <c r="I67" s="81"/>
      <c r="J67" s="84">
        <f t="shared" si="7"/>
        <v>0</v>
      </c>
      <c r="K67" s="81"/>
      <c r="L67" s="82">
        <f t="shared" si="8"/>
        <v>0</v>
      </c>
      <c r="M67" s="81">
        <f t="shared" si="9"/>
        <v>0</v>
      </c>
      <c r="N67" s="81"/>
      <c r="O67" s="81"/>
      <c r="P67" s="81"/>
    </row>
    <row r="68" spans="1:16" s="68" customFormat="1" ht="18" customHeight="1">
      <c r="A68" s="80"/>
      <c r="B68" s="80"/>
      <c r="C68" s="81"/>
      <c r="D68" s="81"/>
      <c r="E68" s="81"/>
      <c r="F68" s="82">
        <f t="shared" si="6"/>
        <v>0</v>
      </c>
      <c r="G68" s="87" t="s">
        <v>710</v>
      </c>
      <c r="H68" s="81"/>
      <c r="I68" s="81"/>
      <c r="J68" s="84">
        <f t="shared" si="7"/>
        <v>0</v>
      </c>
      <c r="K68" s="81"/>
      <c r="L68" s="82">
        <f t="shared" si="8"/>
        <v>0</v>
      </c>
      <c r="M68" s="81">
        <f t="shared" si="9"/>
        <v>0</v>
      </c>
      <c r="N68" s="81"/>
      <c r="O68" s="81"/>
      <c r="P68" s="81"/>
    </row>
    <row r="69" spans="1:16" s="68" customFormat="1" ht="18" customHeight="1">
      <c r="A69" s="80"/>
      <c r="B69" s="80"/>
      <c r="C69" s="81"/>
      <c r="D69" s="81"/>
      <c r="E69" s="81"/>
      <c r="F69" s="82">
        <f t="shared" si="6"/>
        <v>0</v>
      </c>
      <c r="G69" s="80" t="s">
        <v>711</v>
      </c>
      <c r="H69" s="81">
        <v>102</v>
      </c>
      <c r="I69" s="81">
        <v>40</v>
      </c>
      <c r="J69" s="84">
        <f t="shared" si="7"/>
        <v>361</v>
      </c>
      <c r="K69" s="81">
        <v>401</v>
      </c>
      <c r="L69" s="82">
        <f t="shared" si="8"/>
        <v>293.1372549019608</v>
      </c>
      <c r="M69" s="81">
        <f t="shared" si="9"/>
        <v>-83</v>
      </c>
      <c r="N69" s="81">
        <v>-85</v>
      </c>
      <c r="O69" s="81"/>
      <c r="P69" s="81">
        <v>2</v>
      </c>
    </row>
    <row r="70" spans="1:16" s="68" customFormat="1" ht="18" customHeight="1">
      <c r="A70" s="80"/>
      <c r="B70" s="80"/>
      <c r="C70" s="81"/>
      <c r="D70" s="81"/>
      <c r="E70" s="81"/>
      <c r="F70" s="82">
        <f t="shared" si="6"/>
        <v>0</v>
      </c>
      <c r="G70" s="80" t="s">
        <v>712</v>
      </c>
      <c r="H70" s="81"/>
      <c r="I70" s="81">
        <f>SUM(I71:I74)</f>
        <v>0</v>
      </c>
      <c r="J70" s="84">
        <f t="shared" si="7"/>
        <v>0</v>
      </c>
      <c r="K70" s="81">
        <f>SUM(K71:K74)</f>
        <v>0</v>
      </c>
      <c r="L70" s="82">
        <f t="shared" si="8"/>
        <v>0</v>
      </c>
      <c r="M70" s="81">
        <f t="shared" si="9"/>
        <v>0</v>
      </c>
      <c r="N70" s="81">
        <f>SUM(N71:N74)</f>
        <v>0</v>
      </c>
      <c r="O70" s="81">
        <f>SUM(O71:O74)</f>
        <v>0</v>
      </c>
      <c r="P70" s="81">
        <f>SUM(P71:P74)</f>
        <v>0</v>
      </c>
    </row>
    <row r="71" spans="1:16" s="68" customFormat="1" ht="18" customHeight="1">
      <c r="A71" s="80"/>
      <c r="B71" s="80"/>
      <c r="C71" s="81"/>
      <c r="D71" s="81"/>
      <c r="E71" s="81"/>
      <c r="F71" s="82">
        <f t="shared" si="6"/>
        <v>0</v>
      </c>
      <c r="G71" s="87" t="s">
        <v>713</v>
      </c>
      <c r="H71" s="81"/>
      <c r="I71" s="81"/>
      <c r="J71" s="84">
        <f t="shared" si="7"/>
        <v>0</v>
      </c>
      <c r="K71" s="81"/>
      <c r="L71" s="82">
        <f t="shared" si="8"/>
        <v>0</v>
      </c>
      <c r="M71" s="81">
        <f t="shared" si="9"/>
        <v>0</v>
      </c>
      <c r="N71" s="81"/>
      <c r="O71" s="81"/>
      <c r="P71" s="81"/>
    </row>
    <row r="72" spans="1:16" s="68" customFormat="1" ht="18" customHeight="1">
      <c r="A72" s="80"/>
      <c r="B72" s="80"/>
      <c r="C72" s="81"/>
      <c r="D72" s="81"/>
      <c r="E72" s="81"/>
      <c r="F72" s="82">
        <f t="shared" si="6"/>
        <v>0</v>
      </c>
      <c r="G72" s="87" t="s">
        <v>714</v>
      </c>
      <c r="H72" s="81">
        <v>0</v>
      </c>
      <c r="I72" s="81"/>
      <c r="J72" s="84">
        <f t="shared" si="7"/>
        <v>0</v>
      </c>
      <c r="K72" s="81"/>
      <c r="L72" s="82">
        <f t="shared" si="8"/>
        <v>0</v>
      </c>
      <c r="M72" s="81">
        <f t="shared" si="9"/>
        <v>0</v>
      </c>
      <c r="N72" s="81"/>
      <c r="O72" s="81"/>
      <c r="P72" s="81"/>
    </row>
    <row r="73" spans="1:16" s="68" customFormat="1" ht="18" customHeight="1">
      <c r="A73" s="80"/>
      <c r="B73" s="80"/>
      <c r="C73" s="98"/>
      <c r="D73" s="98"/>
      <c r="E73" s="98"/>
      <c r="F73" s="82">
        <f aca="true" t="shared" si="10" ref="F73:F136">IF(B73=0,0,SUM(E73/B73-1)*100)</f>
        <v>0</v>
      </c>
      <c r="G73" s="87" t="s">
        <v>715</v>
      </c>
      <c r="H73" s="81"/>
      <c r="I73" s="81"/>
      <c r="J73" s="84">
        <f t="shared" si="7"/>
        <v>0</v>
      </c>
      <c r="K73" s="81"/>
      <c r="L73" s="82">
        <f t="shared" si="8"/>
        <v>0</v>
      </c>
      <c r="M73" s="81">
        <f aca="true" t="shared" si="11" ref="M73:M136">N73+O73+P73</f>
        <v>0</v>
      </c>
      <c r="N73" s="81"/>
      <c r="O73" s="81"/>
      <c r="P73" s="81"/>
    </row>
    <row r="74" spans="1:16" s="68" customFormat="1" ht="18" customHeight="1">
      <c r="A74" s="80"/>
      <c r="B74" s="80"/>
      <c r="C74" s="81"/>
      <c r="D74" s="81"/>
      <c r="E74" s="81"/>
      <c r="F74" s="82">
        <f t="shared" si="10"/>
        <v>0</v>
      </c>
      <c r="G74" s="87" t="s">
        <v>716</v>
      </c>
      <c r="H74" s="87"/>
      <c r="I74" s="81"/>
      <c r="J74" s="84">
        <f t="shared" si="7"/>
        <v>0</v>
      </c>
      <c r="K74" s="81"/>
      <c r="L74" s="82">
        <f t="shared" si="8"/>
        <v>0</v>
      </c>
      <c r="M74" s="81">
        <f t="shared" si="11"/>
        <v>0</v>
      </c>
      <c r="N74" s="81"/>
      <c r="O74" s="81"/>
      <c r="P74" s="81"/>
    </row>
    <row r="75" spans="1:16" s="68" customFormat="1" ht="18" customHeight="1">
      <c r="A75" s="80"/>
      <c r="B75" s="80"/>
      <c r="C75" s="81"/>
      <c r="D75" s="81"/>
      <c r="E75" s="81"/>
      <c r="F75" s="82">
        <f t="shared" si="10"/>
        <v>0</v>
      </c>
      <c r="G75" s="268" t="s">
        <v>717</v>
      </c>
      <c r="H75" s="81">
        <f>SUM(H76:H78)</f>
        <v>0</v>
      </c>
      <c r="I75" s="81">
        <f>SUM(I76:I78)</f>
        <v>0</v>
      </c>
      <c r="J75" s="84">
        <f t="shared" si="7"/>
        <v>0</v>
      </c>
      <c r="K75" s="81">
        <f>SUM(K76:K78)</f>
        <v>0</v>
      </c>
      <c r="L75" s="82">
        <f t="shared" si="8"/>
        <v>0</v>
      </c>
      <c r="M75" s="81">
        <f t="shared" si="11"/>
        <v>0</v>
      </c>
      <c r="N75" s="81">
        <f>SUM(N76:N78)</f>
        <v>0</v>
      </c>
      <c r="O75" s="81">
        <f>SUM(O76:O78)</f>
        <v>0</v>
      </c>
      <c r="P75" s="81">
        <f>SUM(P76:P78)</f>
        <v>0</v>
      </c>
    </row>
    <row r="76" spans="1:16" s="68" customFormat="1" ht="18" customHeight="1">
      <c r="A76" s="80"/>
      <c r="B76" s="80"/>
      <c r="C76" s="81"/>
      <c r="D76" s="81"/>
      <c r="E76" s="81"/>
      <c r="F76" s="82">
        <f t="shared" si="10"/>
        <v>0</v>
      </c>
      <c r="G76" s="87" t="s">
        <v>708</v>
      </c>
      <c r="H76" s="87"/>
      <c r="I76" s="81"/>
      <c r="J76" s="84">
        <f t="shared" si="7"/>
        <v>0</v>
      </c>
      <c r="K76" s="81"/>
      <c r="L76" s="82">
        <f t="shared" si="8"/>
        <v>0</v>
      </c>
      <c r="M76" s="81">
        <f t="shared" si="11"/>
        <v>0</v>
      </c>
      <c r="N76" s="81"/>
      <c r="O76" s="81"/>
      <c r="P76" s="81"/>
    </row>
    <row r="77" spans="1:16" s="68" customFormat="1" ht="18" customHeight="1">
      <c r="A77" s="80"/>
      <c r="B77" s="80"/>
      <c r="C77" s="81"/>
      <c r="D77" s="81"/>
      <c r="E77" s="81"/>
      <c r="F77" s="82">
        <f t="shared" si="10"/>
        <v>0</v>
      </c>
      <c r="G77" s="87" t="s">
        <v>709</v>
      </c>
      <c r="H77" s="87"/>
      <c r="I77" s="81"/>
      <c r="J77" s="84">
        <f t="shared" si="7"/>
        <v>0</v>
      </c>
      <c r="K77" s="81"/>
      <c r="L77" s="82">
        <f t="shared" si="8"/>
        <v>0</v>
      </c>
      <c r="M77" s="81">
        <f t="shared" si="11"/>
        <v>0</v>
      </c>
      <c r="N77" s="81"/>
      <c r="O77" s="81"/>
      <c r="P77" s="81"/>
    </row>
    <row r="78" spans="1:16" s="68" customFormat="1" ht="18" customHeight="1">
      <c r="A78" s="80"/>
      <c r="B78" s="80"/>
      <c r="C78" s="81"/>
      <c r="D78" s="81"/>
      <c r="E78" s="81"/>
      <c r="F78" s="82">
        <f t="shared" si="10"/>
        <v>0</v>
      </c>
      <c r="G78" s="270" t="s">
        <v>718</v>
      </c>
      <c r="H78" s="88"/>
      <c r="I78" s="81"/>
      <c r="J78" s="84">
        <f t="shared" si="7"/>
        <v>0</v>
      </c>
      <c r="K78" s="81"/>
      <c r="L78" s="82">
        <f t="shared" si="8"/>
        <v>0</v>
      </c>
      <c r="M78" s="81">
        <f t="shared" si="11"/>
        <v>0</v>
      </c>
      <c r="N78" s="81"/>
      <c r="O78" s="81"/>
      <c r="P78" s="81"/>
    </row>
    <row r="79" spans="1:16" s="68" customFormat="1" ht="18" customHeight="1">
      <c r="A79" s="80"/>
      <c r="B79" s="80"/>
      <c r="C79" s="81"/>
      <c r="D79" s="81"/>
      <c r="E79" s="81"/>
      <c r="F79" s="82">
        <f t="shared" si="10"/>
        <v>0</v>
      </c>
      <c r="G79" s="269" t="s">
        <v>719</v>
      </c>
      <c r="H79" s="88">
        <f>SUM(H80:H82)</f>
        <v>217</v>
      </c>
      <c r="I79" s="88">
        <f>SUM(I80:I82)</f>
        <v>590</v>
      </c>
      <c r="J79" s="84">
        <f aca="true" t="shared" si="12" ref="J79:J141">K79-I79</f>
        <v>556</v>
      </c>
      <c r="K79" s="84">
        <f>SUM(K80:K82)</f>
        <v>1146</v>
      </c>
      <c r="L79" s="82">
        <f aca="true" t="shared" si="13" ref="L79:L141">IF(H79=0,0,SUM(K79/H79-1)*100)</f>
        <v>428.110599078341</v>
      </c>
      <c r="M79" s="81">
        <f t="shared" si="11"/>
        <v>0</v>
      </c>
      <c r="N79" s="88">
        <f>SUM(N80:N82)</f>
        <v>0</v>
      </c>
      <c r="O79" s="88">
        <f>SUM(O80:O82)</f>
        <v>0</v>
      </c>
      <c r="P79" s="88">
        <f>SUM(P80:P82)</f>
        <v>0</v>
      </c>
    </row>
    <row r="80" spans="1:16" s="68" customFormat="1" ht="18" customHeight="1">
      <c r="A80" s="80"/>
      <c r="B80" s="80"/>
      <c r="C80" s="81"/>
      <c r="D80" s="81"/>
      <c r="E80" s="81"/>
      <c r="F80" s="82">
        <f t="shared" si="10"/>
        <v>0</v>
      </c>
      <c r="G80" s="270" t="s">
        <v>720</v>
      </c>
      <c r="H80" s="89">
        <v>213</v>
      </c>
      <c r="I80" s="88">
        <v>590</v>
      </c>
      <c r="J80" s="84">
        <f t="shared" si="12"/>
        <v>556</v>
      </c>
      <c r="K80" s="88">
        <v>1146</v>
      </c>
      <c r="L80" s="82">
        <f t="shared" si="13"/>
        <v>438.0281690140845</v>
      </c>
      <c r="M80" s="81">
        <f t="shared" si="11"/>
        <v>0</v>
      </c>
      <c r="N80" s="88"/>
      <c r="O80" s="88"/>
      <c r="P80" s="88"/>
    </row>
    <row r="81" spans="1:16" s="68" customFormat="1" ht="18" customHeight="1">
      <c r="A81" s="80"/>
      <c r="B81" s="80"/>
      <c r="C81" s="81"/>
      <c r="D81" s="81"/>
      <c r="E81" s="81"/>
      <c r="F81" s="82">
        <f t="shared" si="10"/>
        <v>0</v>
      </c>
      <c r="G81" s="270" t="s">
        <v>721</v>
      </c>
      <c r="H81" s="89">
        <v>4</v>
      </c>
      <c r="I81" s="81"/>
      <c r="J81" s="84">
        <f t="shared" si="12"/>
        <v>0</v>
      </c>
      <c r="K81" s="81"/>
      <c r="L81" s="82">
        <f t="shared" si="13"/>
        <v>-100</v>
      </c>
      <c r="M81" s="81">
        <f t="shared" si="11"/>
        <v>0</v>
      </c>
      <c r="N81" s="81"/>
      <c r="O81" s="81"/>
      <c r="P81" s="81"/>
    </row>
    <row r="82" spans="1:16" s="68" customFormat="1" ht="18" customHeight="1">
      <c r="A82" s="80"/>
      <c r="B82" s="80"/>
      <c r="C82" s="81"/>
      <c r="D82" s="81"/>
      <c r="E82" s="81"/>
      <c r="F82" s="82">
        <f t="shared" si="10"/>
        <v>0</v>
      </c>
      <c r="G82" s="270" t="s">
        <v>722</v>
      </c>
      <c r="H82" s="89"/>
      <c r="I82" s="81"/>
      <c r="J82" s="84">
        <f t="shared" si="12"/>
        <v>0</v>
      </c>
      <c r="K82" s="81"/>
      <c r="L82" s="82">
        <f t="shared" si="13"/>
        <v>0</v>
      </c>
      <c r="M82" s="81">
        <f t="shared" si="11"/>
        <v>0</v>
      </c>
      <c r="N82" s="81"/>
      <c r="O82" s="81"/>
      <c r="P82" s="81"/>
    </row>
    <row r="83" spans="1:16" s="68" customFormat="1" ht="18" customHeight="1">
      <c r="A83" s="80"/>
      <c r="B83" s="80"/>
      <c r="C83" s="81"/>
      <c r="D83" s="81"/>
      <c r="E83" s="81"/>
      <c r="F83" s="82">
        <f t="shared" si="10"/>
        <v>0</v>
      </c>
      <c r="G83" s="268" t="s">
        <v>723</v>
      </c>
      <c r="H83" s="81">
        <f>SUM(H84+H90+H95+H100+H103+H108)</f>
        <v>288</v>
      </c>
      <c r="I83" s="81">
        <f>SUM(I84+I90+I95+I100+I103+I108)</f>
        <v>815</v>
      </c>
      <c r="J83" s="84">
        <f t="shared" si="12"/>
        <v>158</v>
      </c>
      <c r="K83" s="81">
        <f>SUM(K84+K90+K95+K100+K103+K108)</f>
        <v>973</v>
      </c>
      <c r="L83" s="82">
        <f t="shared" si="13"/>
        <v>237.84722222222223</v>
      </c>
      <c r="M83" s="81">
        <f t="shared" si="11"/>
        <v>751</v>
      </c>
      <c r="N83" s="81">
        <f>SUM(N84+N90+N95+N100+N103+N108)</f>
        <v>0</v>
      </c>
      <c r="O83" s="81">
        <f>SUM(O84+O90+O95+O100+O103+O108)</f>
        <v>751</v>
      </c>
      <c r="P83" s="81">
        <f>SUM(P84+P90+P95+P100+P103+P108)</f>
        <v>0</v>
      </c>
    </row>
    <row r="84" spans="1:16" s="68" customFormat="1" ht="18" customHeight="1">
      <c r="A84" s="80"/>
      <c r="B84" s="80"/>
      <c r="C84" s="81"/>
      <c r="D84" s="81"/>
      <c r="E84" s="81"/>
      <c r="F84" s="82">
        <f t="shared" si="10"/>
        <v>0</v>
      </c>
      <c r="G84" s="87" t="s">
        <v>724</v>
      </c>
      <c r="H84" s="81">
        <f>SUM(H85:H89)</f>
        <v>0</v>
      </c>
      <c r="I84" s="81">
        <f>SUM(I85:I89)</f>
        <v>0</v>
      </c>
      <c r="J84" s="84">
        <f t="shared" si="12"/>
        <v>0</v>
      </c>
      <c r="K84" s="81">
        <f>SUM(K85:K89)</f>
        <v>0</v>
      </c>
      <c r="L84" s="82">
        <f t="shared" si="13"/>
        <v>0</v>
      </c>
      <c r="M84" s="81">
        <f t="shared" si="11"/>
        <v>0</v>
      </c>
      <c r="N84" s="81">
        <f>SUM(N85:N89)</f>
        <v>0</v>
      </c>
      <c r="O84" s="81">
        <f>SUM(O85:O89)</f>
        <v>0</v>
      </c>
      <c r="P84" s="81">
        <f>SUM(P85:P89)</f>
        <v>0</v>
      </c>
    </row>
    <row r="85" spans="1:16" s="68" customFormat="1" ht="18" customHeight="1">
      <c r="A85" s="80"/>
      <c r="B85" s="80"/>
      <c r="C85" s="81"/>
      <c r="D85" s="81"/>
      <c r="E85" s="81"/>
      <c r="F85" s="82">
        <f t="shared" si="10"/>
        <v>0</v>
      </c>
      <c r="G85" s="81" t="s">
        <v>725</v>
      </c>
      <c r="H85" s="81"/>
      <c r="I85" s="81"/>
      <c r="J85" s="84">
        <f t="shared" si="12"/>
        <v>0</v>
      </c>
      <c r="K85" s="81"/>
      <c r="L85" s="82">
        <f t="shared" si="13"/>
        <v>0</v>
      </c>
      <c r="M85" s="81">
        <f t="shared" si="11"/>
        <v>0</v>
      </c>
      <c r="N85" s="81"/>
      <c r="O85" s="81"/>
      <c r="P85" s="81"/>
    </row>
    <row r="86" spans="1:16" s="68" customFormat="1" ht="18" customHeight="1">
      <c r="A86" s="80"/>
      <c r="B86" s="80"/>
      <c r="C86" s="81"/>
      <c r="D86" s="81"/>
      <c r="E86" s="81"/>
      <c r="F86" s="82">
        <f t="shared" si="10"/>
        <v>0</v>
      </c>
      <c r="G86" s="81" t="s">
        <v>726</v>
      </c>
      <c r="H86" s="81"/>
      <c r="I86" s="81"/>
      <c r="J86" s="84">
        <f t="shared" si="12"/>
        <v>0</v>
      </c>
      <c r="K86" s="81"/>
      <c r="L86" s="82">
        <f t="shared" si="13"/>
        <v>0</v>
      </c>
      <c r="M86" s="81">
        <f t="shared" si="11"/>
        <v>0</v>
      </c>
      <c r="N86" s="81"/>
      <c r="O86" s="81"/>
      <c r="P86" s="81"/>
    </row>
    <row r="87" spans="1:16" s="68" customFormat="1" ht="18" customHeight="1">
      <c r="A87" s="80"/>
      <c r="B87" s="80"/>
      <c r="C87" s="81"/>
      <c r="D87" s="81"/>
      <c r="E87" s="81"/>
      <c r="F87" s="82">
        <f t="shared" si="10"/>
        <v>0</v>
      </c>
      <c r="G87" s="81" t="s">
        <v>727</v>
      </c>
      <c r="H87" s="81"/>
      <c r="I87" s="81"/>
      <c r="J87" s="84">
        <f t="shared" si="12"/>
        <v>0</v>
      </c>
      <c r="K87" s="81"/>
      <c r="L87" s="82">
        <f t="shared" si="13"/>
        <v>0</v>
      </c>
      <c r="M87" s="81">
        <f t="shared" si="11"/>
        <v>0</v>
      </c>
      <c r="N87" s="81"/>
      <c r="O87" s="81"/>
      <c r="P87" s="81"/>
    </row>
    <row r="88" spans="1:16" s="68" customFormat="1" ht="18" customHeight="1">
      <c r="A88" s="80"/>
      <c r="B88" s="80"/>
      <c r="C88" s="81"/>
      <c r="D88" s="81"/>
      <c r="E88" s="81"/>
      <c r="F88" s="82">
        <f t="shared" si="10"/>
        <v>0</v>
      </c>
      <c r="G88" s="81" t="s">
        <v>728</v>
      </c>
      <c r="H88" s="81"/>
      <c r="I88" s="81"/>
      <c r="J88" s="84">
        <f t="shared" si="12"/>
        <v>0</v>
      </c>
      <c r="K88" s="81"/>
      <c r="L88" s="82">
        <f t="shared" si="13"/>
        <v>0</v>
      </c>
      <c r="M88" s="81">
        <f t="shared" si="11"/>
        <v>0</v>
      </c>
      <c r="N88" s="81"/>
      <c r="O88" s="81"/>
      <c r="P88" s="81"/>
    </row>
    <row r="89" spans="1:16" s="68" customFormat="1" ht="18" customHeight="1">
      <c r="A89" s="80"/>
      <c r="B89" s="80"/>
      <c r="C89" s="81"/>
      <c r="D89" s="81"/>
      <c r="E89" s="81"/>
      <c r="F89" s="82">
        <f t="shared" si="10"/>
        <v>0</v>
      </c>
      <c r="G89" s="81" t="s">
        <v>729</v>
      </c>
      <c r="H89" s="81"/>
      <c r="I89" s="81"/>
      <c r="J89" s="84">
        <f t="shared" si="12"/>
        <v>0</v>
      </c>
      <c r="K89" s="81"/>
      <c r="L89" s="82">
        <f t="shared" si="13"/>
        <v>0</v>
      </c>
      <c r="M89" s="81">
        <f t="shared" si="11"/>
        <v>0</v>
      </c>
      <c r="N89" s="81"/>
      <c r="O89" s="81"/>
      <c r="P89" s="81"/>
    </row>
    <row r="90" spans="1:16" s="68" customFormat="1" ht="18" customHeight="1">
      <c r="A90" s="80"/>
      <c r="B90" s="80"/>
      <c r="C90" s="81"/>
      <c r="D90" s="81"/>
      <c r="E90" s="81"/>
      <c r="F90" s="82">
        <f t="shared" si="10"/>
        <v>0</v>
      </c>
      <c r="G90" s="87" t="s">
        <v>730</v>
      </c>
      <c r="H90" s="81">
        <f>SUM(H91:H94)</f>
        <v>33</v>
      </c>
      <c r="I90" s="81">
        <f>SUM(I91:I94)</f>
        <v>564</v>
      </c>
      <c r="J90" s="84">
        <f t="shared" si="12"/>
        <v>158</v>
      </c>
      <c r="K90" s="81">
        <f>SUM(K91:K94)</f>
        <v>722</v>
      </c>
      <c r="L90" s="82">
        <f t="shared" si="13"/>
        <v>2087.878787878788</v>
      </c>
      <c r="M90" s="81">
        <f t="shared" si="11"/>
        <v>251</v>
      </c>
      <c r="N90" s="81">
        <f>SUM(N91:N94)</f>
        <v>0</v>
      </c>
      <c r="O90" s="81">
        <f>SUM(O91:O94)</f>
        <v>251</v>
      </c>
      <c r="P90" s="81">
        <f>SUM(P91:P94)</f>
        <v>0</v>
      </c>
    </row>
    <row r="91" spans="1:16" s="68" customFormat="1" ht="18" customHeight="1">
      <c r="A91" s="80"/>
      <c r="B91" s="80"/>
      <c r="C91" s="81"/>
      <c r="D91" s="81"/>
      <c r="E91" s="81"/>
      <c r="F91" s="82">
        <f t="shared" si="10"/>
        <v>0</v>
      </c>
      <c r="G91" s="87" t="s">
        <v>643</v>
      </c>
      <c r="H91" s="81">
        <v>33</v>
      </c>
      <c r="I91" s="81">
        <v>564</v>
      </c>
      <c r="J91" s="84">
        <f t="shared" si="12"/>
        <v>157</v>
      </c>
      <c r="K91" s="81">
        <v>721</v>
      </c>
      <c r="L91" s="82">
        <f t="shared" si="13"/>
        <v>2084.848484848485</v>
      </c>
      <c r="M91" s="81">
        <f t="shared" si="11"/>
        <v>251</v>
      </c>
      <c r="N91" s="81"/>
      <c r="O91" s="81">
        <v>251</v>
      </c>
      <c r="P91" s="81"/>
    </row>
    <row r="92" spans="1:16" s="68" customFormat="1" ht="18" customHeight="1">
      <c r="A92" s="80"/>
      <c r="B92" s="80"/>
      <c r="C92" s="81"/>
      <c r="D92" s="81"/>
      <c r="E92" s="81"/>
      <c r="F92" s="82">
        <f t="shared" si="10"/>
        <v>0</v>
      </c>
      <c r="G92" s="87" t="s">
        <v>731</v>
      </c>
      <c r="H92" s="87"/>
      <c r="I92" s="81"/>
      <c r="J92" s="84">
        <f t="shared" si="12"/>
        <v>0</v>
      </c>
      <c r="K92" s="81"/>
      <c r="L92" s="82">
        <f t="shared" si="13"/>
        <v>0</v>
      </c>
      <c r="M92" s="81">
        <f t="shared" si="11"/>
        <v>0</v>
      </c>
      <c r="N92" s="81"/>
      <c r="O92" s="81"/>
      <c r="P92" s="81"/>
    </row>
    <row r="93" spans="1:16" s="68" customFormat="1" ht="18" customHeight="1">
      <c r="A93" s="80"/>
      <c r="B93" s="80"/>
      <c r="C93" s="81"/>
      <c r="D93" s="81"/>
      <c r="E93" s="81"/>
      <c r="F93" s="82">
        <f t="shared" si="10"/>
        <v>0</v>
      </c>
      <c r="G93" s="87" t="s">
        <v>732</v>
      </c>
      <c r="H93" s="87"/>
      <c r="I93" s="81"/>
      <c r="J93" s="84">
        <f t="shared" si="12"/>
        <v>0</v>
      </c>
      <c r="K93" s="81"/>
      <c r="L93" s="82">
        <f t="shared" si="13"/>
        <v>0</v>
      </c>
      <c r="M93" s="81">
        <f t="shared" si="11"/>
        <v>0</v>
      </c>
      <c r="N93" s="81"/>
      <c r="O93" s="81"/>
      <c r="P93" s="81"/>
    </row>
    <row r="94" spans="1:16" s="68" customFormat="1" ht="18" customHeight="1">
      <c r="A94" s="80"/>
      <c r="B94" s="80"/>
      <c r="C94" s="81"/>
      <c r="D94" s="81"/>
      <c r="E94" s="81"/>
      <c r="F94" s="82">
        <f t="shared" si="10"/>
        <v>0</v>
      </c>
      <c r="G94" s="87" t="s">
        <v>733</v>
      </c>
      <c r="H94" s="87"/>
      <c r="I94" s="81"/>
      <c r="J94" s="84">
        <f t="shared" si="12"/>
        <v>1</v>
      </c>
      <c r="K94" s="81">
        <v>1</v>
      </c>
      <c r="L94" s="82">
        <f t="shared" si="13"/>
        <v>0</v>
      </c>
      <c r="M94" s="81">
        <f t="shared" si="11"/>
        <v>0</v>
      </c>
      <c r="N94" s="81"/>
      <c r="O94" s="81"/>
      <c r="P94" s="81"/>
    </row>
    <row r="95" spans="1:16" s="68" customFormat="1" ht="18" customHeight="1">
      <c r="A95" s="80"/>
      <c r="B95" s="80"/>
      <c r="C95" s="81"/>
      <c r="D95" s="81"/>
      <c r="E95" s="81"/>
      <c r="F95" s="82">
        <f t="shared" si="10"/>
        <v>0</v>
      </c>
      <c r="G95" s="87" t="s">
        <v>734</v>
      </c>
      <c r="H95" s="81">
        <f>SUM(H96:H99)</f>
        <v>0</v>
      </c>
      <c r="I95" s="81">
        <f>SUM(I96:I99)</f>
        <v>0</v>
      </c>
      <c r="J95" s="84">
        <f t="shared" si="12"/>
        <v>0</v>
      </c>
      <c r="K95" s="81">
        <f>SUM(K96:K99)</f>
        <v>0</v>
      </c>
      <c r="L95" s="82">
        <f t="shared" si="13"/>
        <v>0</v>
      </c>
      <c r="M95" s="81">
        <f t="shared" si="11"/>
        <v>0</v>
      </c>
      <c r="N95" s="81">
        <f>SUM(N96:N99)</f>
        <v>0</v>
      </c>
      <c r="O95" s="81">
        <f>SUM(O96:O99)</f>
        <v>0</v>
      </c>
      <c r="P95" s="81">
        <f>SUM(P96:P99)</f>
        <v>0</v>
      </c>
    </row>
    <row r="96" spans="1:16" s="68" customFormat="1" ht="18" customHeight="1">
      <c r="A96" s="80"/>
      <c r="B96" s="80"/>
      <c r="C96" s="81"/>
      <c r="D96" s="81"/>
      <c r="E96" s="81"/>
      <c r="F96" s="82">
        <f t="shared" si="10"/>
        <v>0</v>
      </c>
      <c r="G96" s="87" t="s">
        <v>643</v>
      </c>
      <c r="H96" s="87"/>
      <c r="I96" s="81"/>
      <c r="J96" s="84">
        <f t="shared" si="12"/>
        <v>0</v>
      </c>
      <c r="K96" s="81"/>
      <c r="L96" s="82">
        <f t="shared" si="13"/>
        <v>0</v>
      </c>
      <c r="M96" s="81">
        <f t="shared" si="11"/>
        <v>0</v>
      </c>
      <c r="N96" s="81"/>
      <c r="O96" s="81"/>
      <c r="P96" s="81"/>
    </row>
    <row r="97" spans="1:16" s="68" customFormat="1" ht="18" customHeight="1">
      <c r="A97" s="80"/>
      <c r="B97" s="80"/>
      <c r="C97" s="81"/>
      <c r="D97" s="81"/>
      <c r="E97" s="81"/>
      <c r="F97" s="82">
        <f t="shared" si="10"/>
        <v>0</v>
      </c>
      <c r="G97" s="87" t="s">
        <v>731</v>
      </c>
      <c r="H97" s="87"/>
      <c r="I97" s="81"/>
      <c r="J97" s="84">
        <f t="shared" si="12"/>
        <v>0</v>
      </c>
      <c r="K97" s="81"/>
      <c r="L97" s="82">
        <f t="shared" si="13"/>
        <v>0</v>
      </c>
      <c r="M97" s="81">
        <f t="shared" si="11"/>
        <v>0</v>
      </c>
      <c r="N97" s="81"/>
      <c r="O97" s="81"/>
      <c r="P97" s="81"/>
    </row>
    <row r="98" spans="1:16" s="68" customFormat="1" ht="18" customHeight="1">
      <c r="A98" s="80"/>
      <c r="B98" s="80"/>
      <c r="C98" s="81"/>
      <c r="D98" s="81"/>
      <c r="E98" s="81"/>
      <c r="F98" s="82">
        <f t="shared" si="10"/>
        <v>0</v>
      </c>
      <c r="G98" s="87" t="s">
        <v>735</v>
      </c>
      <c r="H98" s="87"/>
      <c r="I98" s="81"/>
      <c r="J98" s="84">
        <f t="shared" si="12"/>
        <v>0</v>
      </c>
      <c r="K98" s="81"/>
      <c r="L98" s="82">
        <f t="shared" si="13"/>
        <v>0</v>
      </c>
      <c r="M98" s="81">
        <f t="shared" si="11"/>
        <v>0</v>
      </c>
      <c r="N98" s="81"/>
      <c r="O98" s="81"/>
      <c r="P98" s="81"/>
    </row>
    <row r="99" spans="1:16" s="68" customFormat="1" ht="18" customHeight="1">
      <c r="A99" s="80"/>
      <c r="B99" s="80"/>
      <c r="C99" s="81"/>
      <c r="D99" s="81"/>
      <c r="E99" s="81"/>
      <c r="F99" s="82">
        <f t="shared" si="10"/>
        <v>0</v>
      </c>
      <c r="G99" s="87" t="s">
        <v>736</v>
      </c>
      <c r="H99" s="87"/>
      <c r="I99" s="81"/>
      <c r="J99" s="84">
        <f t="shared" si="12"/>
        <v>0</v>
      </c>
      <c r="K99" s="81"/>
      <c r="L99" s="82">
        <f t="shared" si="13"/>
        <v>0</v>
      </c>
      <c r="M99" s="81">
        <f t="shared" si="11"/>
        <v>0</v>
      </c>
      <c r="N99" s="81"/>
      <c r="O99" s="81"/>
      <c r="P99" s="81"/>
    </row>
    <row r="100" spans="1:16" s="68" customFormat="1" ht="18" customHeight="1">
      <c r="A100" s="80"/>
      <c r="B100" s="80"/>
      <c r="C100" s="81"/>
      <c r="D100" s="81"/>
      <c r="E100" s="81"/>
      <c r="F100" s="82">
        <f t="shared" si="10"/>
        <v>0</v>
      </c>
      <c r="G100" s="87" t="s">
        <v>737</v>
      </c>
      <c r="H100" s="81">
        <f>SUM(H101:H102)</f>
        <v>0</v>
      </c>
      <c r="I100" s="81">
        <f>SUM(I101:I102)</f>
        <v>0</v>
      </c>
      <c r="J100" s="84">
        <f t="shared" si="12"/>
        <v>0</v>
      </c>
      <c r="K100" s="81">
        <f>SUM(K101:K102)</f>
        <v>0</v>
      </c>
      <c r="L100" s="82">
        <f t="shared" si="13"/>
        <v>0</v>
      </c>
      <c r="M100" s="81">
        <f t="shared" si="11"/>
        <v>0</v>
      </c>
      <c r="N100" s="81">
        <f>SUM(N101:N102)</f>
        <v>0</v>
      </c>
      <c r="O100" s="81">
        <f>SUM(O101:O102)</f>
        <v>0</v>
      </c>
      <c r="P100" s="81">
        <f>SUM(P101:P102)</f>
        <v>0</v>
      </c>
    </row>
    <row r="101" spans="1:16" s="68" customFormat="1" ht="18" customHeight="1">
      <c r="A101" s="80"/>
      <c r="B101" s="80"/>
      <c r="C101" s="81"/>
      <c r="D101" s="81"/>
      <c r="E101" s="81"/>
      <c r="F101" s="82">
        <f t="shared" si="10"/>
        <v>0</v>
      </c>
      <c r="G101" s="87" t="s">
        <v>738</v>
      </c>
      <c r="H101" s="87"/>
      <c r="I101" s="81"/>
      <c r="J101" s="84">
        <f t="shared" si="12"/>
        <v>0</v>
      </c>
      <c r="K101" s="81"/>
      <c r="L101" s="82">
        <f t="shared" si="13"/>
        <v>0</v>
      </c>
      <c r="M101" s="81">
        <f t="shared" si="11"/>
        <v>0</v>
      </c>
      <c r="N101" s="81"/>
      <c r="O101" s="81"/>
      <c r="P101" s="81"/>
    </row>
    <row r="102" spans="1:16" s="68" customFormat="1" ht="18" customHeight="1">
      <c r="A102" s="80"/>
      <c r="B102" s="80"/>
      <c r="C102" s="81"/>
      <c r="D102" s="81"/>
      <c r="E102" s="81"/>
      <c r="F102" s="82">
        <f t="shared" si="10"/>
        <v>0</v>
      </c>
      <c r="G102" s="87" t="s">
        <v>739</v>
      </c>
      <c r="H102" s="87"/>
      <c r="I102" s="81"/>
      <c r="J102" s="84">
        <f t="shared" si="12"/>
        <v>0</v>
      </c>
      <c r="K102" s="81"/>
      <c r="L102" s="82">
        <f t="shared" si="13"/>
        <v>0</v>
      </c>
      <c r="M102" s="81">
        <f t="shared" si="11"/>
        <v>0</v>
      </c>
      <c r="N102" s="81"/>
      <c r="O102" s="81"/>
      <c r="P102" s="81"/>
    </row>
    <row r="103" spans="1:16" s="68" customFormat="1" ht="18" customHeight="1">
      <c r="A103" s="80"/>
      <c r="B103" s="80"/>
      <c r="C103" s="81"/>
      <c r="D103" s="81"/>
      <c r="E103" s="81"/>
      <c r="F103" s="82">
        <f t="shared" si="10"/>
        <v>0</v>
      </c>
      <c r="G103" s="87" t="s">
        <v>740</v>
      </c>
      <c r="H103" s="81">
        <f>SUM(H104:H107)</f>
        <v>255</v>
      </c>
      <c r="I103" s="81">
        <f>SUM(I104:I107)</f>
        <v>251</v>
      </c>
      <c r="J103" s="84">
        <f t="shared" si="12"/>
        <v>0</v>
      </c>
      <c r="K103" s="81">
        <f>SUM(K104:K107)</f>
        <v>251</v>
      </c>
      <c r="L103" s="82">
        <f t="shared" si="13"/>
        <v>-1.5686274509803977</v>
      </c>
      <c r="M103" s="81">
        <f t="shared" si="11"/>
        <v>500</v>
      </c>
      <c r="N103" s="81">
        <f>SUM(N104:N107)</f>
        <v>0</v>
      </c>
      <c r="O103" s="81">
        <f>SUM(O104:O107)</f>
        <v>500</v>
      </c>
      <c r="P103" s="81">
        <f>SUM(P104:P107)</f>
        <v>0</v>
      </c>
    </row>
    <row r="104" spans="1:16" s="68" customFormat="1" ht="18" customHeight="1">
      <c r="A104" s="80"/>
      <c r="B104" s="80"/>
      <c r="C104" s="81"/>
      <c r="D104" s="81"/>
      <c r="E104" s="81"/>
      <c r="F104" s="82">
        <f t="shared" si="10"/>
        <v>0</v>
      </c>
      <c r="G104" s="87" t="s">
        <v>738</v>
      </c>
      <c r="H104" s="87"/>
      <c r="I104" s="81"/>
      <c r="J104" s="84">
        <f t="shared" si="12"/>
        <v>0</v>
      </c>
      <c r="K104" s="81"/>
      <c r="L104" s="82">
        <f t="shared" si="13"/>
        <v>0</v>
      </c>
      <c r="M104" s="81">
        <f t="shared" si="11"/>
        <v>0</v>
      </c>
      <c r="N104" s="81"/>
      <c r="O104" s="81"/>
      <c r="P104" s="81"/>
    </row>
    <row r="105" spans="1:16" s="68" customFormat="1" ht="18" customHeight="1">
      <c r="A105" s="80"/>
      <c r="B105" s="80"/>
      <c r="C105" s="81"/>
      <c r="D105" s="81"/>
      <c r="E105" s="81"/>
      <c r="F105" s="82">
        <f t="shared" si="10"/>
        <v>0</v>
      </c>
      <c r="G105" s="87" t="s">
        <v>741</v>
      </c>
      <c r="H105" s="87"/>
      <c r="I105" s="81"/>
      <c r="J105" s="84">
        <f t="shared" si="12"/>
        <v>0</v>
      </c>
      <c r="K105" s="81"/>
      <c r="L105" s="82">
        <f t="shared" si="13"/>
        <v>0</v>
      </c>
      <c r="M105" s="81">
        <f t="shared" si="11"/>
        <v>0</v>
      </c>
      <c r="N105" s="81"/>
      <c r="O105" s="81"/>
      <c r="P105" s="81"/>
    </row>
    <row r="106" spans="1:16" s="68" customFormat="1" ht="18" customHeight="1">
      <c r="A106" s="80"/>
      <c r="B106" s="80"/>
      <c r="C106" s="81"/>
      <c r="D106" s="81"/>
      <c r="E106" s="81"/>
      <c r="F106" s="82">
        <f t="shared" si="10"/>
        <v>0</v>
      </c>
      <c r="G106" s="87" t="s">
        <v>742</v>
      </c>
      <c r="H106" s="81">
        <v>255</v>
      </c>
      <c r="I106" s="81">
        <v>251</v>
      </c>
      <c r="J106" s="84">
        <f t="shared" si="12"/>
        <v>0</v>
      </c>
      <c r="K106" s="81">
        <v>251</v>
      </c>
      <c r="L106" s="82">
        <f t="shared" si="13"/>
        <v>-1.5686274509803977</v>
      </c>
      <c r="M106" s="81">
        <f t="shared" si="11"/>
        <v>500</v>
      </c>
      <c r="N106" s="81"/>
      <c r="O106" s="81">
        <v>500</v>
      </c>
      <c r="P106" s="81"/>
    </row>
    <row r="107" spans="1:16" s="68" customFormat="1" ht="18" customHeight="1">
      <c r="A107" s="80"/>
      <c r="B107" s="80"/>
      <c r="C107" s="81"/>
      <c r="D107" s="81"/>
      <c r="E107" s="81"/>
      <c r="F107" s="82">
        <f t="shared" si="10"/>
        <v>0</v>
      </c>
      <c r="G107" s="87" t="s">
        <v>743</v>
      </c>
      <c r="H107" s="87"/>
      <c r="I107" s="81"/>
      <c r="J107" s="84">
        <f t="shared" si="12"/>
        <v>0</v>
      </c>
      <c r="K107" s="81"/>
      <c r="L107" s="82">
        <f t="shared" si="13"/>
        <v>0</v>
      </c>
      <c r="M107" s="81">
        <f t="shared" si="11"/>
        <v>0</v>
      </c>
      <c r="N107" s="81"/>
      <c r="O107" s="81"/>
      <c r="P107" s="81"/>
    </row>
    <row r="108" spans="1:16" s="68" customFormat="1" ht="18" customHeight="1">
      <c r="A108" s="80"/>
      <c r="B108" s="80"/>
      <c r="C108" s="81"/>
      <c r="D108" s="81"/>
      <c r="E108" s="81"/>
      <c r="F108" s="82">
        <f t="shared" si="10"/>
        <v>0</v>
      </c>
      <c r="G108" s="87" t="s">
        <v>744</v>
      </c>
      <c r="H108" s="81">
        <f>SUM(H109:H111)</f>
        <v>0</v>
      </c>
      <c r="I108" s="81">
        <f>SUM(I109:I111)</f>
        <v>0</v>
      </c>
      <c r="J108" s="84">
        <f t="shared" si="12"/>
        <v>0</v>
      </c>
      <c r="K108" s="81">
        <f>SUM(K109:K111)</f>
        <v>0</v>
      </c>
      <c r="L108" s="82">
        <f t="shared" si="13"/>
        <v>0</v>
      </c>
      <c r="M108" s="81">
        <f t="shared" si="11"/>
        <v>0</v>
      </c>
      <c r="N108" s="81">
        <f>SUM(N109:N111)</f>
        <v>0</v>
      </c>
      <c r="O108" s="81">
        <f>SUM(O109:O111)</f>
        <v>0</v>
      </c>
      <c r="P108" s="81">
        <f>SUM(P109:P111)</f>
        <v>0</v>
      </c>
    </row>
    <row r="109" spans="1:16" s="68" customFormat="1" ht="18" customHeight="1">
      <c r="A109" s="80"/>
      <c r="B109" s="80"/>
      <c r="C109" s="81"/>
      <c r="D109" s="81"/>
      <c r="E109" s="81"/>
      <c r="F109" s="82">
        <f t="shared" si="10"/>
        <v>0</v>
      </c>
      <c r="G109" s="87" t="s">
        <v>745</v>
      </c>
      <c r="H109" s="87"/>
      <c r="I109" s="81"/>
      <c r="J109" s="84">
        <f t="shared" si="12"/>
        <v>0</v>
      </c>
      <c r="K109" s="81"/>
      <c r="L109" s="82">
        <f t="shared" si="13"/>
        <v>0</v>
      </c>
      <c r="M109" s="81">
        <f t="shared" si="11"/>
        <v>0</v>
      </c>
      <c r="N109" s="81"/>
      <c r="O109" s="81"/>
      <c r="P109" s="81"/>
    </row>
    <row r="110" spans="1:16" s="68" customFormat="1" ht="18" customHeight="1">
      <c r="A110" s="80"/>
      <c r="B110" s="80"/>
      <c r="C110" s="81"/>
      <c r="D110" s="81"/>
      <c r="E110" s="81"/>
      <c r="F110" s="82">
        <f t="shared" si="10"/>
        <v>0</v>
      </c>
      <c r="G110" s="87" t="s">
        <v>746</v>
      </c>
      <c r="H110" s="87"/>
      <c r="I110" s="81"/>
      <c r="J110" s="84">
        <f t="shared" si="12"/>
        <v>0</v>
      </c>
      <c r="K110" s="81"/>
      <c r="L110" s="82">
        <f t="shared" si="13"/>
        <v>0</v>
      </c>
      <c r="M110" s="81">
        <f t="shared" si="11"/>
        <v>0</v>
      </c>
      <c r="N110" s="81"/>
      <c r="O110" s="81"/>
      <c r="P110" s="81"/>
    </row>
    <row r="111" spans="1:16" s="68" customFormat="1" ht="18" customHeight="1">
      <c r="A111" s="80"/>
      <c r="B111" s="80"/>
      <c r="C111" s="81"/>
      <c r="D111" s="81"/>
      <c r="E111" s="81"/>
      <c r="F111" s="82">
        <f t="shared" si="10"/>
        <v>0</v>
      </c>
      <c r="G111" s="87" t="s">
        <v>747</v>
      </c>
      <c r="H111" s="87"/>
      <c r="I111" s="81"/>
      <c r="J111" s="84">
        <f t="shared" si="12"/>
        <v>0</v>
      </c>
      <c r="K111" s="81"/>
      <c r="L111" s="82">
        <f t="shared" si="13"/>
        <v>0</v>
      </c>
      <c r="M111" s="81">
        <f t="shared" si="11"/>
        <v>0</v>
      </c>
      <c r="N111" s="81"/>
      <c r="O111" s="81"/>
      <c r="P111" s="81"/>
    </row>
    <row r="112" spans="1:16" s="68" customFormat="1" ht="18" customHeight="1">
      <c r="A112" s="80"/>
      <c r="B112" s="80"/>
      <c r="C112" s="81"/>
      <c r="D112" s="81"/>
      <c r="E112" s="81"/>
      <c r="F112" s="82">
        <f t="shared" si="10"/>
        <v>0</v>
      </c>
      <c r="G112" s="83" t="s">
        <v>748</v>
      </c>
      <c r="H112" s="81">
        <f>SUM(H113+H115+H120+H125+H130+H139+H146)</f>
        <v>0</v>
      </c>
      <c r="I112" s="81">
        <f>SUM(I113+I115+I120+I125+I130+I139+I146)</f>
        <v>0</v>
      </c>
      <c r="J112" s="84">
        <f t="shared" si="12"/>
        <v>0</v>
      </c>
      <c r="K112" s="81">
        <f>SUM(K113+K115+K120+K125+K130+K139+K146)</f>
        <v>0</v>
      </c>
      <c r="L112" s="82">
        <f t="shared" si="13"/>
        <v>0</v>
      </c>
      <c r="M112" s="81">
        <f t="shared" si="11"/>
        <v>0</v>
      </c>
      <c r="N112" s="81">
        <f>SUM(N113+N115+N120+N125+N130+N139+N146)</f>
        <v>0</v>
      </c>
      <c r="O112" s="81">
        <f>SUM(O113+O115+O120+O125+O130+O139+O146)</f>
        <v>0</v>
      </c>
      <c r="P112" s="81">
        <f>SUM(P113+P115+P120+P125+P130+P139+P146)</f>
        <v>0</v>
      </c>
    </row>
    <row r="113" spans="1:16" s="68" customFormat="1" ht="18" customHeight="1">
      <c r="A113" s="80"/>
      <c r="B113" s="80"/>
      <c r="C113" s="81"/>
      <c r="D113" s="81"/>
      <c r="E113" s="81"/>
      <c r="F113" s="82">
        <f t="shared" si="10"/>
        <v>0</v>
      </c>
      <c r="G113" s="83" t="s">
        <v>749</v>
      </c>
      <c r="H113" s="83"/>
      <c r="I113" s="81">
        <f>SUM(I114)</f>
        <v>0</v>
      </c>
      <c r="J113" s="84">
        <f t="shared" si="12"/>
        <v>0</v>
      </c>
      <c r="K113" s="81">
        <f>SUM(K114)</f>
        <v>0</v>
      </c>
      <c r="L113" s="82">
        <f t="shared" si="13"/>
        <v>0</v>
      </c>
      <c r="M113" s="81">
        <f t="shared" si="11"/>
        <v>0</v>
      </c>
      <c r="N113" s="81">
        <f>SUM(N114)</f>
        <v>0</v>
      </c>
      <c r="O113" s="81">
        <f>SUM(O114)</f>
        <v>0</v>
      </c>
      <c r="P113" s="81">
        <f>SUM(P114)</f>
        <v>0</v>
      </c>
    </row>
    <row r="114" spans="1:16" s="68" customFormat="1" ht="18" customHeight="1">
      <c r="A114" s="80"/>
      <c r="B114" s="80"/>
      <c r="C114" s="81"/>
      <c r="D114" s="81"/>
      <c r="E114" s="81"/>
      <c r="F114" s="82">
        <f t="shared" si="10"/>
        <v>0</v>
      </c>
      <c r="G114" s="83" t="s">
        <v>750</v>
      </c>
      <c r="H114" s="83"/>
      <c r="I114" s="81"/>
      <c r="J114" s="84">
        <f t="shared" si="12"/>
        <v>0</v>
      </c>
      <c r="K114" s="81"/>
      <c r="L114" s="82">
        <f t="shared" si="13"/>
        <v>0</v>
      </c>
      <c r="M114" s="81">
        <f t="shared" si="11"/>
        <v>0</v>
      </c>
      <c r="N114" s="81"/>
      <c r="O114" s="81"/>
      <c r="P114" s="81"/>
    </row>
    <row r="115" spans="1:16" s="68" customFormat="1" ht="18" customHeight="1">
      <c r="A115" s="80"/>
      <c r="B115" s="80"/>
      <c r="C115" s="81"/>
      <c r="D115" s="81"/>
      <c r="E115" s="81"/>
      <c r="F115" s="82">
        <f t="shared" si="10"/>
        <v>0</v>
      </c>
      <c r="G115" s="87" t="s">
        <v>751</v>
      </c>
      <c r="H115" s="81">
        <f>SUM(H116:H119)</f>
        <v>0</v>
      </c>
      <c r="I115" s="81">
        <f>SUM(I116:I119)</f>
        <v>0</v>
      </c>
      <c r="J115" s="84">
        <f t="shared" si="12"/>
        <v>0</v>
      </c>
      <c r="K115" s="81">
        <f>SUM(K116:K119)</f>
        <v>0</v>
      </c>
      <c r="L115" s="82">
        <f t="shared" si="13"/>
        <v>0</v>
      </c>
      <c r="M115" s="81">
        <f t="shared" si="11"/>
        <v>0</v>
      </c>
      <c r="N115" s="81">
        <f>SUM(N116:N119)</f>
        <v>0</v>
      </c>
      <c r="O115" s="81">
        <f>SUM(O116:O119)</f>
        <v>0</v>
      </c>
      <c r="P115" s="81">
        <f>SUM(P116:P119)</f>
        <v>0</v>
      </c>
    </row>
    <row r="116" spans="1:16" s="68" customFormat="1" ht="18" customHeight="1">
      <c r="A116" s="80"/>
      <c r="B116" s="80"/>
      <c r="C116" s="81"/>
      <c r="D116" s="81"/>
      <c r="E116" s="81"/>
      <c r="F116" s="82">
        <f t="shared" si="10"/>
        <v>0</v>
      </c>
      <c r="G116" s="87" t="s">
        <v>752</v>
      </c>
      <c r="H116" s="87"/>
      <c r="I116" s="81"/>
      <c r="J116" s="84">
        <f t="shared" si="12"/>
        <v>0</v>
      </c>
      <c r="K116" s="81"/>
      <c r="L116" s="82">
        <f t="shared" si="13"/>
        <v>0</v>
      </c>
      <c r="M116" s="81">
        <f t="shared" si="11"/>
        <v>0</v>
      </c>
      <c r="N116" s="81"/>
      <c r="O116" s="81"/>
      <c r="P116" s="81"/>
    </row>
    <row r="117" spans="1:16" s="68" customFormat="1" ht="18" customHeight="1">
      <c r="A117" s="80"/>
      <c r="B117" s="80"/>
      <c r="C117" s="81"/>
      <c r="D117" s="81"/>
      <c r="E117" s="81"/>
      <c r="F117" s="82">
        <f t="shared" si="10"/>
        <v>0</v>
      </c>
      <c r="G117" s="87" t="s">
        <v>753</v>
      </c>
      <c r="H117" s="87"/>
      <c r="I117" s="81"/>
      <c r="J117" s="84">
        <f t="shared" si="12"/>
        <v>0</v>
      </c>
      <c r="K117" s="81"/>
      <c r="L117" s="82">
        <f t="shared" si="13"/>
        <v>0</v>
      </c>
      <c r="M117" s="81">
        <f t="shared" si="11"/>
        <v>0</v>
      </c>
      <c r="N117" s="81"/>
      <c r="O117" s="81"/>
      <c r="P117" s="81"/>
    </row>
    <row r="118" spans="1:16" s="68" customFormat="1" ht="18" customHeight="1">
      <c r="A118" s="80"/>
      <c r="B118" s="80"/>
      <c r="C118" s="81"/>
      <c r="D118" s="81"/>
      <c r="E118" s="81"/>
      <c r="F118" s="82">
        <f t="shared" si="10"/>
        <v>0</v>
      </c>
      <c r="G118" s="87" t="s">
        <v>754</v>
      </c>
      <c r="H118" s="87"/>
      <c r="I118" s="81"/>
      <c r="J118" s="84">
        <f t="shared" si="12"/>
        <v>0</v>
      </c>
      <c r="K118" s="81"/>
      <c r="L118" s="82">
        <f t="shared" si="13"/>
        <v>0</v>
      </c>
      <c r="M118" s="81">
        <f t="shared" si="11"/>
        <v>0</v>
      </c>
      <c r="N118" s="81"/>
      <c r="O118" s="81"/>
      <c r="P118" s="81"/>
    </row>
    <row r="119" spans="1:16" s="68" customFormat="1" ht="18" customHeight="1">
      <c r="A119" s="80"/>
      <c r="B119" s="80"/>
      <c r="C119" s="81"/>
      <c r="D119" s="81"/>
      <c r="E119" s="81"/>
      <c r="F119" s="82">
        <f t="shared" si="10"/>
        <v>0</v>
      </c>
      <c r="G119" s="87" t="s">
        <v>755</v>
      </c>
      <c r="H119" s="87"/>
      <c r="I119" s="81"/>
      <c r="J119" s="84">
        <f t="shared" si="12"/>
        <v>0</v>
      </c>
      <c r="K119" s="81"/>
      <c r="L119" s="82">
        <f t="shared" si="13"/>
        <v>0</v>
      </c>
      <c r="M119" s="81">
        <f t="shared" si="11"/>
        <v>0</v>
      </c>
      <c r="N119" s="81"/>
      <c r="O119" s="81"/>
      <c r="P119" s="81"/>
    </row>
    <row r="120" spans="1:16" s="68" customFormat="1" ht="18" customHeight="1">
      <c r="A120" s="80"/>
      <c r="B120" s="80"/>
      <c r="C120" s="81"/>
      <c r="D120" s="81"/>
      <c r="E120" s="81"/>
      <c r="F120" s="82">
        <f t="shared" si="10"/>
        <v>0</v>
      </c>
      <c r="G120" s="87" t="s">
        <v>756</v>
      </c>
      <c r="H120" s="81">
        <f>SUM(H121:H124)</f>
        <v>0</v>
      </c>
      <c r="I120" s="81">
        <f>SUM(I121:I124)</f>
        <v>0</v>
      </c>
      <c r="J120" s="84">
        <f t="shared" si="12"/>
        <v>0</v>
      </c>
      <c r="K120" s="81">
        <f>SUM(K121:K124)</f>
        <v>0</v>
      </c>
      <c r="L120" s="82">
        <f t="shared" si="13"/>
        <v>0</v>
      </c>
      <c r="M120" s="81">
        <f t="shared" si="11"/>
        <v>0</v>
      </c>
      <c r="N120" s="81">
        <f>SUM(N121:N124)</f>
        <v>0</v>
      </c>
      <c r="O120" s="81">
        <f>SUM(O121:O124)</f>
        <v>0</v>
      </c>
      <c r="P120" s="81">
        <f>SUM(P121:P124)</f>
        <v>0</v>
      </c>
    </row>
    <row r="121" spans="1:16" s="68" customFormat="1" ht="18" customHeight="1">
      <c r="A121" s="80"/>
      <c r="B121" s="80"/>
      <c r="C121" s="81"/>
      <c r="D121" s="81"/>
      <c r="E121" s="81"/>
      <c r="F121" s="82">
        <f t="shared" si="10"/>
        <v>0</v>
      </c>
      <c r="G121" s="87" t="s">
        <v>754</v>
      </c>
      <c r="H121" s="87"/>
      <c r="I121" s="81"/>
      <c r="J121" s="84">
        <f t="shared" si="12"/>
        <v>0</v>
      </c>
      <c r="K121" s="81"/>
      <c r="L121" s="82">
        <f t="shared" si="13"/>
        <v>0</v>
      </c>
      <c r="M121" s="81">
        <f t="shared" si="11"/>
        <v>0</v>
      </c>
      <c r="N121" s="81"/>
      <c r="O121" s="81"/>
      <c r="P121" s="81"/>
    </row>
    <row r="122" spans="1:16" s="68" customFormat="1" ht="18" customHeight="1">
      <c r="A122" s="80"/>
      <c r="B122" s="80"/>
      <c r="C122" s="81"/>
      <c r="D122" s="81"/>
      <c r="E122" s="81"/>
      <c r="F122" s="82">
        <f t="shared" si="10"/>
        <v>0</v>
      </c>
      <c r="G122" s="87" t="s">
        <v>757</v>
      </c>
      <c r="H122" s="87"/>
      <c r="I122" s="81"/>
      <c r="J122" s="84">
        <f t="shared" si="12"/>
        <v>0</v>
      </c>
      <c r="K122" s="81"/>
      <c r="L122" s="82">
        <f t="shared" si="13"/>
        <v>0</v>
      </c>
      <c r="M122" s="81">
        <f t="shared" si="11"/>
        <v>0</v>
      </c>
      <c r="N122" s="81"/>
      <c r="O122" s="81"/>
      <c r="P122" s="81"/>
    </row>
    <row r="123" spans="1:16" s="68" customFormat="1" ht="18" customHeight="1">
      <c r="A123" s="80"/>
      <c r="B123" s="80"/>
      <c r="C123" s="81"/>
      <c r="D123" s="81"/>
      <c r="E123" s="81"/>
      <c r="F123" s="82">
        <f t="shared" si="10"/>
        <v>0</v>
      </c>
      <c r="G123" s="87" t="s">
        <v>758</v>
      </c>
      <c r="H123" s="87"/>
      <c r="I123" s="81"/>
      <c r="J123" s="84">
        <f t="shared" si="12"/>
        <v>0</v>
      </c>
      <c r="K123" s="81"/>
      <c r="L123" s="82">
        <f t="shared" si="13"/>
        <v>0</v>
      </c>
      <c r="M123" s="81">
        <f t="shared" si="11"/>
        <v>0</v>
      </c>
      <c r="N123" s="81"/>
      <c r="O123" s="81"/>
      <c r="P123" s="81"/>
    </row>
    <row r="124" spans="1:16" s="68" customFormat="1" ht="18" customHeight="1">
      <c r="A124" s="80"/>
      <c r="B124" s="80"/>
      <c r="C124" s="81"/>
      <c r="D124" s="81"/>
      <c r="E124" s="81"/>
      <c r="F124" s="82">
        <f t="shared" si="10"/>
        <v>0</v>
      </c>
      <c r="G124" s="87" t="s">
        <v>759</v>
      </c>
      <c r="H124" s="87"/>
      <c r="I124" s="81"/>
      <c r="J124" s="84">
        <f t="shared" si="12"/>
        <v>0</v>
      </c>
      <c r="K124" s="81"/>
      <c r="L124" s="82">
        <f t="shared" si="13"/>
        <v>0</v>
      </c>
      <c r="M124" s="81">
        <f t="shared" si="11"/>
        <v>0</v>
      </c>
      <c r="N124" s="81"/>
      <c r="O124" s="81"/>
      <c r="P124" s="81"/>
    </row>
    <row r="125" spans="1:16" s="68" customFormat="1" ht="18" customHeight="1">
      <c r="A125" s="80"/>
      <c r="B125" s="80"/>
      <c r="C125" s="81"/>
      <c r="D125" s="81"/>
      <c r="E125" s="81"/>
      <c r="F125" s="82">
        <f t="shared" si="10"/>
        <v>0</v>
      </c>
      <c r="G125" s="87" t="s">
        <v>760</v>
      </c>
      <c r="H125" s="87"/>
      <c r="I125" s="81">
        <f>SUM(I126:I129)</f>
        <v>0</v>
      </c>
      <c r="J125" s="84">
        <f t="shared" si="12"/>
        <v>0</v>
      </c>
      <c r="K125" s="81">
        <f>SUM(K126:K129)</f>
        <v>0</v>
      </c>
      <c r="L125" s="82">
        <f t="shared" si="13"/>
        <v>0</v>
      </c>
      <c r="M125" s="81">
        <f t="shared" si="11"/>
        <v>0</v>
      </c>
      <c r="N125" s="81">
        <f>SUM(N126:N129)</f>
        <v>0</v>
      </c>
      <c r="O125" s="81">
        <f>SUM(O126:O129)</f>
        <v>0</v>
      </c>
      <c r="P125" s="81">
        <f>SUM(P126:P129)</f>
        <v>0</v>
      </c>
    </row>
    <row r="126" spans="1:16" s="68" customFormat="1" ht="18" customHeight="1">
      <c r="A126" s="80"/>
      <c r="B126" s="80"/>
      <c r="C126" s="81"/>
      <c r="D126" s="81"/>
      <c r="E126" s="81"/>
      <c r="F126" s="82">
        <f t="shared" si="10"/>
        <v>0</v>
      </c>
      <c r="G126" s="87" t="s">
        <v>761</v>
      </c>
      <c r="H126" s="87"/>
      <c r="I126" s="81"/>
      <c r="J126" s="84">
        <f t="shared" si="12"/>
        <v>0</v>
      </c>
      <c r="K126" s="81"/>
      <c r="L126" s="82">
        <f t="shared" si="13"/>
        <v>0</v>
      </c>
      <c r="M126" s="81">
        <f t="shared" si="11"/>
        <v>0</v>
      </c>
      <c r="N126" s="81"/>
      <c r="O126" s="81"/>
      <c r="P126" s="81"/>
    </row>
    <row r="127" spans="1:16" s="68" customFormat="1" ht="18" customHeight="1">
      <c r="A127" s="80"/>
      <c r="B127" s="80"/>
      <c r="C127" s="81"/>
      <c r="D127" s="81"/>
      <c r="E127" s="81"/>
      <c r="F127" s="82">
        <f t="shared" si="10"/>
        <v>0</v>
      </c>
      <c r="G127" s="87" t="s">
        <v>762</v>
      </c>
      <c r="H127" s="87"/>
      <c r="I127" s="81"/>
      <c r="J127" s="84">
        <f t="shared" si="12"/>
        <v>0</v>
      </c>
      <c r="K127" s="81"/>
      <c r="L127" s="82">
        <f t="shared" si="13"/>
        <v>0</v>
      </c>
      <c r="M127" s="81">
        <f t="shared" si="11"/>
        <v>0</v>
      </c>
      <c r="N127" s="81"/>
      <c r="O127" s="81"/>
      <c r="P127" s="81"/>
    </row>
    <row r="128" spans="1:16" s="68" customFormat="1" ht="18" customHeight="1">
      <c r="A128" s="80"/>
      <c r="B128" s="80"/>
      <c r="C128" s="81"/>
      <c r="D128" s="81"/>
      <c r="E128" s="81"/>
      <c r="F128" s="82">
        <f t="shared" si="10"/>
        <v>0</v>
      </c>
      <c r="G128" s="87" t="s">
        <v>763</v>
      </c>
      <c r="H128" s="87"/>
      <c r="I128" s="81"/>
      <c r="J128" s="84">
        <f t="shared" si="12"/>
        <v>0</v>
      </c>
      <c r="K128" s="81"/>
      <c r="L128" s="82">
        <f t="shared" si="13"/>
        <v>0</v>
      </c>
      <c r="M128" s="81">
        <f t="shared" si="11"/>
        <v>0</v>
      </c>
      <c r="N128" s="81"/>
      <c r="O128" s="81"/>
      <c r="P128" s="81"/>
    </row>
    <row r="129" spans="1:16" s="68" customFormat="1" ht="18" customHeight="1">
      <c r="A129" s="80"/>
      <c r="B129" s="80"/>
      <c r="C129" s="81"/>
      <c r="D129" s="81"/>
      <c r="E129" s="81"/>
      <c r="F129" s="82">
        <f t="shared" si="10"/>
        <v>0</v>
      </c>
      <c r="G129" s="87" t="s">
        <v>764</v>
      </c>
      <c r="H129" s="87"/>
      <c r="I129" s="81"/>
      <c r="J129" s="84">
        <f t="shared" si="12"/>
        <v>0</v>
      </c>
      <c r="K129" s="81"/>
      <c r="L129" s="82">
        <f t="shared" si="13"/>
        <v>0</v>
      </c>
      <c r="M129" s="81">
        <f t="shared" si="11"/>
        <v>0</v>
      </c>
      <c r="N129" s="81"/>
      <c r="O129" s="81"/>
      <c r="P129" s="81"/>
    </row>
    <row r="130" spans="1:16" s="68" customFormat="1" ht="18" customHeight="1">
      <c r="A130" s="80"/>
      <c r="B130" s="80"/>
      <c r="C130" s="81"/>
      <c r="D130" s="81"/>
      <c r="E130" s="81"/>
      <c r="F130" s="82">
        <f t="shared" si="10"/>
        <v>0</v>
      </c>
      <c r="G130" s="87" t="s">
        <v>765</v>
      </c>
      <c r="H130" s="87"/>
      <c r="I130" s="81">
        <f>SUM(I131:I138)</f>
        <v>0</v>
      </c>
      <c r="J130" s="84">
        <f t="shared" si="12"/>
        <v>0</v>
      </c>
      <c r="K130" s="81">
        <f>SUM(K131:K138)</f>
        <v>0</v>
      </c>
      <c r="L130" s="82">
        <f t="shared" si="13"/>
        <v>0</v>
      </c>
      <c r="M130" s="81">
        <f t="shared" si="11"/>
        <v>0</v>
      </c>
      <c r="N130" s="81">
        <f>SUM(N131:N138)</f>
        <v>0</v>
      </c>
      <c r="O130" s="81">
        <f>SUM(O131:O138)</f>
        <v>0</v>
      </c>
      <c r="P130" s="81">
        <f>SUM(P131:P138)</f>
        <v>0</v>
      </c>
    </row>
    <row r="131" spans="1:16" s="68" customFormat="1" ht="18" customHeight="1">
      <c r="A131" s="80"/>
      <c r="B131" s="80"/>
      <c r="C131" s="81"/>
      <c r="D131" s="81"/>
      <c r="E131" s="81"/>
      <c r="F131" s="82">
        <f t="shared" si="10"/>
        <v>0</v>
      </c>
      <c r="G131" s="87" t="s">
        <v>766</v>
      </c>
      <c r="H131" s="87"/>
      <c r="I131" s="81"/>
      <c r="J131" s="84">
        <f t="shared" si="12"/>
        <v>0</v>
      </c>
      <c r="K131" s="81"/>
      <c r="L131" s="82">
        <f t="shared" si="13"/>
        <v>0</v>
      </c>
      <c r="M131" s="81">
        <f t="shared" si="11"/>
        <v>0</v>
      </c>
      <c r="N131" s="81"/>
      <c r="O131" s="81"/>
      <c r="P131" s="81"/>
    </row>
    <row r="132" spans="1:16" s="68" customFormat="1" ht="18" customHeight="1">
      <c r="A132" s="80"/>
      <c r="B132" s="80"/>
      <c r="C132" s="81"/>
      <c r="D132" s="81"/>
      <c r="E132" s="81"/>
      <c r="F132" s="82">
        <f t="shared" si="10"/>
        <v>0</v>
      </c>
      <c r="G132" s="87" t="s">
        <v>767</v>
      </c>
      <c r="H132" s="87"/>
      <c r="I132" s="81"/>
      <c r="J132" s="84">
        <f t="shared" si="12"/>
        <v>0</v>
      </c>
      <c r="K132" s="81"/>
      <c r="L132" s="82">
        <f t="shared" si="13"/>
        <v>0</v>
      </c>
      <c r="M132" s="81">
        <f t="shared" si="11"/>
        <v>0</v>
      </c>
      <c r="N132" s="81"/>
      <c r="O132" s="81"/>
      <c r="P132" s="81"/>
    </row>
    <row r="133" spans="1:16" s="68" customFormat="1" ht="18" customHeight="1">
      <c r="A133" s="80"/>
      <c r="B133" s="80"/>
      <c r="C133" s="81"/>
      <c r="D133" s="81"/>
      <c r="E133" s="81"/>
      <c r="F133" s="82">
        <f t="shared" si="10"/>
        <v>0</v>
      </c>
      <c r="G133" s="87" t="s">
        <v>768</v>
      </c>
      <c r="H133" s="87"/>
      <c r="I133" s="81"/>
      <c r="J133" s="84">
        <f t="shared" si="12"/>
        <v>0</v>
      </c>
      <c r="K133" s="81"/>
      <c r="L133" s="82">
        <f t="shared" si="13"/>
        <v>0</v>
      </c>
      <c r="M133" s="81">
        <f t="shared" si="11"/>
        <v>0</v>
      </c>
      <c r="N133" s="81"/>
      <c r="O133" s="81"/>
      <c r="P133" s="81"/>
    </row>
    <row r="134" spans="1:16" s="68" customFormat="1" ht="18" customHeight="1">
      <c r="A134" s="80"/>
      <c r="B134" s="80"/>
      <c r="C134" s="81"/>
      <c r="D134" s="81"/>
      <c r="E134" s="81"/>
      <c r="F134" s="82">
        <f t="shared" si="10"/>
        <v>0</v>
      </c>
      <c r="G134" s="87" t="s">
        <v>769</v>
      </c>
      <c r="H134" s="87"/>
      <c r="I134" s="81"/>
      <c r="J134" s="84">
        <f t="shared" si="12"/>
        <v>0</v>
      </c>
      <c r="K134" s="81"/>
      <c r="L134" s="82">
        <f t="shared" si="13"/>
        <v>0</v>
      </c>
      <c r="M134" s="81">
        <f t="shared" si="11"/>
        <v>0</v>
      </c>
      <c r="N134" s="81"/>
      <c r="O134" s="81"/>
      <c r="P134" s="81"/>
    </row>
    <row r="135" spans="1:16" s="68" customFormat="1" ht="18" customHeight="1">
      <c r="A135" s="80"/>
      <c r="B135" s="80"/>
      <c r="C135" s="81"/>
      <c r="D135" s="81"/>
      <c r="E135" s="81"/>
      <c r="F135" s="82">
        <f t="shared" si="10"/>
        <v>0</v>
      </c>
      <c r="G135" s="87" t="s">
        <v>770</v>
      </c>
      <c r="H135" s="87"/>
      <c r="I135" s="81"/>
      <c r="J135" s="84">
        <f t="shared" si="12"/>
        <v>0</v>
      </c>
      <c r="K135" s="81"/>
      <c r="L135" s="82">
        <f t="shared" si="13"/>
        <v>0</v>
      </c>
      <c r="M135" s="81">
        <f t="shared" si="11"/>
        <v>0</v>
      </c>
      <c r="N135" s="81"/>
      <c r="O135" s="81"/>
      <c r="P135" s="81"/>
    </row>
    <row r="136" spans="1:16" s="68" customFormat="1" ht="18" customHeight="1">
      <c r="A136" s="80"/>
      <c r="B136" s="80"/>
      <c r="C136" s="81"/>
      <c r="D136" s="81"/>
      <c r="E136" s="81"/>
      <c r="F136" s="82">
        <f t="shared" si="10"/>
        <v>0</v>
      </c>
      <c r="G136" s="87" t="s">
        <v>771</v>
      </c>
      <c r="H136" s="87"/>
      <c r="I136" s="81"/>
      <c r="J136" s="84">
        <f t="shared" si="12"/>
        <v>0</v>
      </c>
      <c r="K136" s="81"/>
      <c r="L136" s="82">
        <f t="shared" si="13"/>
        <v>0</v>
      </c>
      <c r="M136" s="81">
        <f t="shared" si="11"/>
        <v>0</v>
      </c>
      <c r="N136" s="81"/>
      <c r="O136" s="81"/>
      <c r="P136" s="81"/>
    </row>
    <row r="137" spans="1:16" s="68" customFormat="1" ht="18" customHeight="1">
      <c r="A137" s="80"/>
      <c r="B137" s="80"/>
      <c r="C137" s="81"/>
      <c r="D137" s="81"/>
      <c r="E137" s="81"/>
      <c r="F137" s="82">
        <f aca="true" t="shared" si="14" ref="F137:F201">IF(B137=0,0,SUM(E137/B137-1)*100)</f>
        <v>0</v>
      </c>
      <c r="G137" s="87" t="s">
        <v>772</v>
      </c>
      <c r="H137" s="87"/>
      <c r="I137" s="81"/>
      <c r="J137" s="84">
        <f t="shared" si="12"/>
        <v>0</v>
      </c>
      <c r="K137" s="81"/>
      <c r="L137" s="82">
        <f t="shared" si="13"/>
        <v>0</v>
      </c>
      <c r="M137" s="81">
        <f aca="true" t="shared" si="15" ref="M137:M199">N137+O137+P137</f>
        <v>0</v>
      </c>
      <c r="N137" s="81"/>
      <c r="O137" s="81"/>
      <c r="P137" s="81"/>
    </row>
    <row r="138" spans="1:16" s="68" customFormat="1" ht="18" customHeight="1">
      <c r="A138" s="80"/>
      <c r="B138" s="80"/>
      <c r="C138" s="81"/>
      <c r="D138" s="81"/>
      <c r="E138" s="81"/>
      <c r="F138" s="82">
        <f t="shared" si="14"/>
        <v>0</v>
      </c>
      <c r="G138" s="87" t="s">
        <v>773</v>
      </c>
      <c r="H138" s="87"/>
      <c r="I138" s="81"/>
      <c r="J138" s="84">
        <f t="shared" si="12"/>
        <v>0</v>
      </c>
      <c r="K138" s="81"/>
      <c r="L138" s="82">
        <f t="shared" si="13"/>
        <v>0</v>
      </c>
      <c r="M138" s="81">
        <f t="shared" si="15"/>
        <v>0</v>
      </c>
      <c r="N138" s="81"/>
      <c r="O138" s="81"/>
      <c r="P138" s="81"/>
    </row>
    <row r="139" spans="1:16" s="68" customFormat="1" ht="18" customHeight="1">
      <c r="A139" s="80"/>
      <c r="B139" s="80"/>
      <c r="C139" s="81"/>
      <c r="D139" s="81"/>
      <c r="E139" s="81"/>
      <c r="F139" s="82">
        <f t="shared" si="14"/>
        <v>0</v>
      </c>
      <c r="G139" s="87" t="s">
        <v>774</v>
      </c>
      <c r="H139" s="87"/>
      <c r="I139" s="81">
        <f>SUM(I140:I145)</f>
        <v>0</v>
      </c>
      <c r="J139" s="84">
        <f t="shared" si="12"/>
        <v>0</v>
      </c>
      <c r="K139" s="81">
        <f>SUM(K140:K145)</f>
        <v>0</v>
      </c>
      <c r="L139" s="82">
        <f t="shared" si="13"/>
        <v>0</v>
      </c>
      <c r="M139" s="81">
        <f t="shared" si="15"/>
        <v>0</v>
      </c>
      <c r="N139" s="81">
        <f>SUM(N140:N145)</f>
        <v>0</v>
      </c>
      <c r="O139" s="81">
        <f>SUM(O140:O145)</f>
        <v>0</v>
      </c>
      <c r="P139" s="81">
        <f>SUM(P140:P145)</f>
        <v>0</v>
      </c>
    </row>
    <row r="140" spans="1:16" s="68" customFormat="1" ht="18" customHeight="1">
      <c r="A140" s="80"/>
      <c r="B140" s="80"/>
      <c r="C140" s="81"/>
      <c r="D140" s="81"/>
      <c r="E140" s="81"/>
      <c r="F140" s="82">
        <f t="shared" si="14"/>
        <v>0</v>
      </c>
      <c r="G140" s="87" t="s">
        <v>775</v>
      </c>
      <c r="H140" s="87"/>
      <c r="I140" s="81"/>
      <c r="J140" s="84">
        <f t="shared" si="12"/>
        <v>0</v>
      </c>
      <c r="K140" s="81"/>
      <c r="L140" s="82">
        <f t="shared" si="13"/>
        <v>0</v>
      </c>
      <c r="M140" s="81">
        <f t="shared" si="15"/>
        <v>0</v>
      </c>
      <c r="N140" s="81"/>
      <c r="O140" s="81"/>
      <c r="P140" s="81"/>
    </row>
    <row r="141" spans="1:16" s="68" customFormat="1" ht="18" customHeight="1">
      <c r="A141" s="80"/>
      <c r="B141" s="80"/>
      <c r="C141" s="81"/>
      <c r="D141" s="81"/>
      <c r="E141" s="81"/>
      <c r="F141" s="82">
        <f t="shared" si="14"/>
        <v>0</v>
      </c>
      <c r="G141" s="87" t="s">
        <v>776</v>
      </c>
      <c r="H141" s="87"/>
      <c r="I141" s="81"/>
      <c r="J141" s="84">
        <f t="shared" si="12"/>
        <v>0</v>
      </c>
      <c r="K141" s="81"/>
      <c r="L141" s="82">
        <f t="shared" si="13"/>
        <v>0</v>
      </c>
      <c r="M141" s="81">
        <f t="shared" si="15"/>
        <v>0</v>
      </c>
      <c r="N141" s="81"/>
      <c r="O141" s="81"/>
      <c r="P141" s="81"/>
    </row>
    <row r="142" spans="1:16" s="68" customFormat="1" ht="18" customHeight="1">
      <c r="A142" s="80"/>
      <c r="B142" s="80"/>
      <c r="C142" s="81"/>
      <c r="D142" s="81"/>
      <c r="E142" s="81"/>
      <c r="F142" s="82">
        <f t="shared" si="14"/>
        <v>0</v>
      </c>
      <c r="G142" s="87" t="s">
        <v>777</v>
      </c>
      <c r="H142" s="87"/>
      <c r="I142" s="81"/>
      <c r="J142" s="84">
        <f aca="true" t="shared" si="16" ref="J142:J201">K142-I142</f>
        <v>0</v>
      </c>
      <c r="K142" s="81"/>
      <c r="L142" s="82">
        <f aca="true" t="shared" si="17" ref="L142:L201">IF(H142=0,0,SUM(K142/H142-1)*100)</f>
        <v>0</v>
      </c>
      <c r="M142" s="81">
        <f t="shared" si="15"/>
        <v>0</v>
      </c>
      <c r="N142" s="81"/>
      <c r="O142" s="81"/>
      <c r="P142" s="81"/>
    </row>
    <row r="143" spans="1:16" s="68" customFormat="1" ht="18" customHeight="1">
      <c r="A143" s="80"/>
      <c r="B143" s="80"/>
      <c r="C143" s="81"/>
      <c r="D143" s="81"/>
      <c r="E143" s="81"/>
      <c r="F143" s="82">
        <f t="shared" si="14"/>
        <v>0</v>
      </c>
      <c r="G143" s="87" t="s">
        <v>778</v>
      </c>
      <c r="H143" s="87"/>
      <c r="I143" s="81"/>
      <c r="J143" s="84">
        <f t="shared" si="16"/>
        <v>0</v>
      </c>
      <c r="K143" s="81"/>
      <c r="L143" s="82">
        <f t="shared" si="17"/>
        <v>0</v>
      </c>
      <c r="M143" s="81">
        <f t="shared" si="15"/>
        <v>0</v>
      </c>
      <c r="N143" s="81"/>
      <c r="O143" s="81"/>
      <c r="P143" s="81"/>
    </row>
    <row r="144" spans="1:16" s="68" customFormat="1" ht="18" customHeight="1">
      <c r="A144" s="80"/>
      <c r="B144" s="80"/>
      <c r="C144" s="81"/>
      <c r="D144" s="81"/>
      <c r="E144" s="81"/>
      <c r="F144" s="82">
        <f t="shared" si="14"/>
        <v>0</v>
      </c>
      <c r="G144" s="87" t="s">
        <v>779</v>
      </c>
      <c r="H144" s="87"/>
      <c r="I144" s="81"/>
      <c r="J144" s="84">
        <f t="shared" si="16"/>
        <v>0</v>
      </c>
      <c r="K144" s="81"/>
      <c r="L144" s="82">
        <f t="shared" si="17"/>
        <v>0</v>
      </c>
      <c r="M144" s="81">
        <f t="shared" si="15"/>
        <v>0</v>
      </c>
      <c r="N144" s="81"/>
      <c r="O144" s="81"/>
      <c r="P144" s="81"/>
    </row>
    <row r="145" spans="1:16" s="68" customFormat="1" ht="18" customHeight="1">
      <c r="A145" s="80"/>
      <c r="B145" s="80"/>
      <c r="C145" s="81"/>
      <c r="D145" s="81"/>
      <c r="E145" s="81"/>
      <c r="F145" s="82">
        <f t="shared" si="14"/>
        <v>0</v>
      </c>
      <c r="G145" s="87" t="s">
        <v>780</v>
      </c>
      <c r="H145" s="87"/>
      <c r="I145" s="81"/>
      <c r="J145" s="84">
        <f t="shared" si="16"/>
        <v>0</v>
      </c>
      <c r="K145" s="81"/>
      <c r="L145" s="82">
        <f t="shared" si="17"/>
        <v>0</v>
      </c>
      <c r="M145" s="81">
        <f t="shared" si="15"/>
        <v>0</v>
      </c>
      <c r="N145" s="81"/>
      <c r="O145" s="81"/>
      <c r="P145" s="81"/>
    </row>
    <row r="146" spans="1:16" s="68" customFormat="1" ht="18" customHeight="1">
      <c r="A146" s="80"/>
      <c r="B146" s="80"/>
      <c r="C146" s="81"/>
      <c r="D146" s="81"/>
      <c r="E146" s="81"/>
      <c r="F146" s="82">
        <f t="shared" si="14"/>
        <v>0</v>
      </c>
      <c r="G146" s="87" t="s">
        <v>781</v>
      </c>
      <c r="H146" s="87"/>
      <c r="I146" s="81">
        <f>SUM(I147:I155)</f>
        <v>0</v>
      </c>
      <c r="J146" s="84">
        <f t="shared" si="16"/>
        <v>0</v>
      </c>
      <c r="K146" s="81">
        <f>SUM(K147:K155)</f>
        <v>0</v>
      </c>
      <c r="L146" s="82">
        <f t="shared" si="17"/>
        <v>0</v>
      </c>
      <c r="M146" s="81">
        <f t="shared" si="15"/>
        <v>0</v>
      </c>
      <c r="N146" s="81">
        <f>SUM(N147:N155)</f>
        <v>0</v>
      </c>
      <c r="O146" s="81">
        <f>SUM(O147:O155)</f>
        <v>0</v>
      </c>
      <c r="P146" s="81">
        <f>SUM(P147:P155)</f>
        <v>0</v>
      </c>
    </row>
    <row r="147" spans="1:16" s="68" customFormat="1" ht="18" customHeight="1">
      <c r="A147" s="80"/>
      <c r="B147" s="80"/>
      <c r="C147" s="81"/>
      <c r="D147" s="81"/>
      <c r="E147" s="81"/>
      <c r="F147" s="82">
        <f t="shared" si="14"/>
        <v>0</v>
      </c>
      <c r="G147" s="87" t="s">
        <v>782</v>
      </c>
      <c r="H147" s="87"/>
      <c r="I147" s="81"/>
      <c r="J147" s="84">
        <f t="shared" si="16"/>
        <v>0</v>
      </c>
      <c r="K147" s="81"/>
      <c r="L147" s="82">
        <f t="shared" si="17"/>
        <v>0</v>
      </c>
      <c r="M147" s="81">
        <f t="shared" si="15"/>
        <v>0</v>
      </c>
      <c r="N147" s="81"/>
      <c r="O147" s="81"/>
      <c r="P147" s="81"/>
    </row>
    <row r="148" spans="1:16" s="68" customFormat="1" ht="18" customHeight="1">
      <c r="A148" s="80"/>
      <c r="B148" s="80"/>
      <c r="C148" s="81"/>
      <c r="D148" s="81"/>
      <c r="E148" s="81"/>
      <c r="F148" s="82">
        <f t="shared" si="14"/>
        <v>0</v>
      </c>
      <c r="G148" s="87" t="s">
        <v>783</v>
      </c>
      <c r="H148" s="87"/>
      <c r="I148" s="81"/>
      <c r="J148" s="84">
        <f t="shared" si="16"/>
        <v>0</v>
      </c>
      <c r="K148" s="81"/>
      <c r="L148" s="82">
        <f t="shared" si="17"/>
        <v>0</v>
      </c>
      <c r="M148" s="81">
        <f t="shared" si="15"/>
        <v>0</v>
      </c>
      <c r="N148" s="81"/>
      <c r="O148" s="81"/>
      <c r="P148" s="81"/>
    </row>
    <row r="149" spans="1:16" s="68" customFormat="1" ht="18" customHeight="1">
      <c r="A149" s="80"/>
      <c r="B149" s="80"/>
      <c r="C149" s="81"/>
      <c r="D149" s="81"/>
      <c r="E149" s="81"/>
      <c r="F149" s="82">
        <f t="shared" si="14"/>
        <v>0</v>
      </c>
      <c r="G149" s="87" t="s">
        <v>784</v>
      </c>
      <c r="H149" s="87"/>
      <c r="I149" s="81"/>
      <c r="J149" s="84">
        <f t="shared" si="16"/>
        <v>0</v>
      </c>
      <c r="K149" s="81"/>
      <c r="L149" s="82">
        <f t="shared" si="17"/>
        <v>0</v>
      </c>
      <c r="M149" s="81">
        <f t="shared" si="15"/>
        <v>0</v>
      </c>
      <c r="N149" s="81"/>
      <c r="O149" s="81"/>
      <c r="P149" s="81"/>
    </row>
    <row r="150" spans="1:16" s="68" customFormat="1" ht="18" customHeight="1">
      <c r="A150" s="80"/>
      <c r="B150" s="80"/>
      <c r="C150" s="81"/>
      <c r="D150" s="81"/>
      <c r="E150" s="81"/>
      <c r="F150" s="82">
        <f t="shared" si="14"/>
        <v>0</v>
      </c>
      <c r="G150" s="87" t="s">
        <v>785</v>
      </c>
      <c r="H150" s="87"/>
      <c r="I150" s="81"/>
      <c r="J150" s="84">
        <f t="shared" si="16"/>
        <v>0</v>
      </c>
      <c r="K150" s="81"/>
      <c r="L150" s="82">
        <f t="shared" si="17"/>
        <v>0</v>
      </c>
      <c r="M150" s="81">
        <f t="shared" si="15"/>
        <v>0</v>
      </c>
      <c r="N150" s="81"/>
      <c r="O150" s="81"/>
      <c r="P150" s="81"/>
    </row>
    <row r="151" spans="1:16" s="68" customFormat="1" ht="18" customHeight="1">
      <c r="A151" s="80"/>
      <c r="B151" s="80"/>
      <c r="C151" s="81"/>
      <c r="D151" s="81"/>
      <c r="E151" s="81"/>
      <c r="F151" s="82">
        <f t="shared" si="14"/>
        <v>0</v>
      </c>
      <c r="G151" s="87" t="s">
        <v>786</v>
      </c>
      <c r="H151" s="87"/>
      <c r="I151" s="81"/>
      <c r="J151" s="84">
        <f t="shared" si="16"/>
        <v>0</v>
      </c>
      <c r="K151" s="81"/>
      <c r="L151" s="82">
        <f t="shared" si="17"/>
        <v>0</v>
      </c>
      <c r="M151" s="81">
        <f t="shared" si="15"/>
        <v>0</v>
      </c>
      <c r="N151" s="81"/>
      <c r="O151" s="81"/>
      <c r="P151" s="81"/>
    </row>
    <row r="152" spans="1:16" s="68" customFormat="1" ht="18" customHeight="1">
      <c r="A152" s="80"/>
      <c r="B152" s="80"/>
      <c r="C152" s="81"/>
      <c r="D152" s="81"/>
      <c r="E152" s="81"/>
      <c r="F152" s="82">
        <f t="shared" si="14"/>
        <v>0</v>
      </c>
      <c r="G152" s="87" t="s">
        <v>787</v>
      </c>
      <c r="H152" s="87"/>
      <c r="I152" s="81"/>
      <c r="J152" s="84">
        <f t="shared" si="16"/>
        <v>0</v>
      </c>
      <c r="K152" s="81"/>
      <c r="L152" s="82">
        <f t="shared" si="17"/>
        <v>0</v>
      </c>
      <c r="M152" s="81">
        <f t="shared" si="15"/>
        <v>0</v>
      </c>
      <c r="N152" s="81"/>
      <c r="O152" s="81"/>
      <c r="P152" s="81"/>
    </row>
    <row r="153" spans="1:16" s="68" customFormat="1" ht="18" customHeight="1">
      <c r="A153" s="80"/>
      <c r="B153" s="80"/>
      <c r="C153" s="81"/>
      <c r="D153" s="81"/>
      <c r="E153" s="81"/>
      <c r="F153" s="82">
        <f t="shared" si="14"/>
        <v>0</v>
      </c>
      <c r="G153" s="87" t="s">
        <v>788</v>
      </c>
      <c r="H153" s="87"/>
      <c r="I153" s="81"/>
      <c r="J153" s="84">
        <f t="shared" si="16"/>
        <v>0</v>
      </c>
      <c r="K153" s="81"/>
      <c r="L153" s="82">
        <f t="shared" si="17"/>
        <v>0</v>
      </c>
      <c r="M153" s="81">
        <f t="shared" si="15"/>
        <v>0</v>
      </c>
      <c r="N153" s="81"/>
      <c r="O153" s="81"/>
      <c r="P153" s="81"/>
    </row>
    <row r="154" spans="1:16" s="68" customFormat="1" ht="18" customHeight="1">
      <c r="A154" s="80"/>
      <c r="B154" s="80"/>
      <c r="C154" s="81"/>
      <c r="D154" s="81"/>
      <c r="E154" s="81"/>
      <c r="F154" s="82">
        <f t="shared" si="14"/>
        <v>0</v>
      </c>
      <c r="G154" s="87" t="s">
        <v>789</v>
      </c>
      <c r="H154" s="87"/>
      <c r="I154" s="81"/>
      <c r="J154" s="84">
        <f t="shared" si="16"/>
        <v>0</v>
      </c>
      <c r="K154" s="81"/>
      <c r="L154" s="82">
        <f t="shared" si="17"/>
        <v>0</v>
      </c>
      <c r="M154" s="81">
        <f t="shared" si="15"/>
        <v>0</v>
      </c>
      <c r="N154" s="81"/>
      <c r="O154" s="81"/>
      <c r="P154" s="81"/>
    </row>
    <row r="155" spans="1:16" s="68" customFormat="1" ht="18" customHeight="1">
      <c r="A155" s="80"/>
      <c r="B155" s="80"/>
      <c r="C155" s="81"/>
      <c r="D155" s="81"/>
      <c r="E155" s="81"/>
      <c r="F155" s="82">
        <f t="shared" si="14"/>
        <v>0</v>
      </c>
      <c r="G155" s="87" t="s">
        <v>790</v>
      </c>
      <c r="H155" s="87"/>
      <c r="I155" s="81"/>
      <c r="J155" s="84">
        <f t="shared" si="16"/>
        <v>0</v>
      </c>
      <c r="K155" s="81"/>
      <c r="L155" s="82">
        <f t="shared" si="17"/>
        <v>0</v>
      </c>
      <c r="M155" s="81">
        <f t="shared" si="15"/>
        <v>0</v>
      </c>
      <c r="N155" s="81"/>
      <c r="O155" s="81"/>
      <c r="P155" s="81"/>
    </row>
    <row r="156" spans="1:16" s="68" customFormat="1" ht="18" customHeight="1">
      <c r="A156" s="80"/>
      <c r="B156" s="80"/>
      <c r="C156" s="81"/>
      <c r="D156" s="81"/>
      <c r="E156" s="81"/>
      <c r="F156" s="82">
        <f t="shared" si="14"/>
        <v>0</v>
      </c>
      <c r="G156" s="83" t="s">
        <v>791</v>
      </c>
      <c r="H156" s="81">
        <f>SUM(H157+H159+H166+H172+H175)</f>
        <v>0</v>
      </c>
      <c r="I156" s="81">
        <f>SUM(I157+I159+I166+I172+I175)</f>
        <v>0</v>
      </c>
      <c r="J156" s="84">
        <f t="shared" si="16"/>
        <v>0</v>
      </c>
      <c r="K156" s="81">
        <f>SUM(K157+K159+K166+K172+K175)</f>
        <v>0</v>
      </c>
      <c r="L156" s="82">
        <f t="shared" si="17"/>
        <v>0</v>
      </c>
      <c r="M156" s="81">
        <f t="shared" si="15"/>
        <v>0</v>
      </c>
      <c r="N156" s="81">
        <f>SUM(N157+N159+N166+N172+N175)</f>
        <v>0</v>
      </c>
      <c r="O156" s="81">
        <f>SUM(O157+O159+O166+O172+O175)</f>
        <v>0</v>
      </c>
      <c r="P156" s="81">
        <f>SUM(P157+P159+P166+P172+P175)</f>
        <v>0</v>
      </c>
    </row>
    <row r="157" spans="1:16" s="68" customFormat="1" ht="18" customHeight="1">
      <c r="A157" s="80"/>
      <c r="B157" s="80"/>
      <c r="C157" s="81"/>
      <c r="D157" s="81"/>
      <c r="E157" s="81"/>
      <c r="F157" s="82">
        <f t="shared" si="14"/>
        <v>0</v>
      </c>
      <c r="G157" s="87" t="s">
        <v>792</v>
      </c>
      <c r="H157" s="81">
        <f>SUM(H158)</f>
        <v>0</v>
      </c>
      <c r="I157" s="81">
        <f>SUM(I158)</f>
        <v>0</v>
      </c>
      <c r="J157" s="84">
        <f t="shared" si="16"/>
        <v>0</v>
      </c>
      <c r="K157" s="81">
        <f>SUM(K158)</f>
        <v>0</v>
      </c>
      <c r="L157" s="82">
        <f t="shared" si="17"/>
        <v>0</v>
      </c>
      <c r="M157" s="81">
        <f t="shared" si="15"/>
        <v>0</v>
      </c>
      <c r="N157" s="81">
        <f>SUM(N158)</f>
        <v>0</v>
      </c>
      <c r="O157" s="81">
        <f>SUM(O158)</f>
        <v>0</v>
      </c>
      <c r="P157" s="81">
        <f>SUM(P158)</f>
        <v>0</v>
      </c>
    </row>
    <row r="158" spans="1:16" s="68" customFormat="1" ht="18" customHeight="1">
      <c r="A158" s="80"/>
      <c r="B158" s="80"/>
      <c r="C158" s="81"/>
      <c r="D158" s="81"/>
      <c r="E158" s="81"/>
      <c r="F158" s="82">
        <f t="shared" si="14"/>
        <v>0</v>
      </c>
      <c r="G158" s="87" t="s">
        <v>793</v>
      </c>
      <c r="H158" s="87"/>
      <c r="I158" s="81"/>
      <c r="J158" s="84">
        <f t="shared" si="16"/>
        <v>0</v>
      </c>
      <c r="K158" s="81"/>
      <c r="L158" s="82">
        <f t="shared" si="17"/>
        <v>0</v>
      </c>
      <c r="M158" s="81">
        <f t="shared" si="15"/>
        <v>0</v>
      </c>
      <c r="N158" s="81"/>
      <c r="O158" s="81"/>
      <c r="P158" s="81"/>
    </row>
    <row r="159" spans="1:16" s="68" customFormat="1" ht="18" customHeight="1">
      <c r="A159" s="80"/>
      <c r="B159" s="80"/>
      <c r="C159" s="81"/>
      <c r="D159" s="81"/>
      <c r="E159" s="81"/>
      <c r="F159" s="82">
        <f t="shared" si="14"/>
        <v>0</v>
      </c>
      <c r="G159" s="87" t="s">
        <v>794</v>
      </c>
      <c r="H159" s="81">
        <f>SUM(H160:H165)</f>
        <v>0</v>
      </c>
      <c r="I159" s="81">
        <f>SUM(I160:I165)</f>
        <v>0</v>
      </c>
      <c r="J159" s="84">
        <f t="shared" si="16"/>
        <v>0</v>
      </c>
      <c r="K159" s="81">
        <f>SUM(K160:K165)</f>
        <v>0</v>
      </c>
      <c r="L159" s="82">
        <f t="shared" si="17"/>
        <v>0</v>
      </c>
      <c r="M159" s="81">
        <f t="shared" si="15"/>
        <v>0</v>
      </c>
      <c r="N159" s="81">
        <f>SUM(N160:N165)</f>
        <v>0</v>
      </c>
      <c r="O159" s="81">
        <f>SUM(O160:O165)</f>
        <v>0</v>
      </c>
      <c r="P159" s="81">
        <f>SUM(P160:P165)</f>
        <v>0</v>
      </c>
    </row>
    <row r="160" spans="1:16" s="68" customFormat="1" ht="18" customHeight="1">
      <c r="A160" s="80"/>
      <c r="B160" s="80"/>
      <c r="C160" s="81"/>
      <c r="D160" s="81"/>
      <c r="E160" s="81"/>
      <c r="F160" s="82">
        <f t="shared" si="14"/>
        <v>0</v>
      </c>
      <c r="G160" s="87" t="s">
        <v>795</v>
      </c>
      <c r="H160" s="87"/>
      <c r="I160" s="81"/>
      <c r="J160" s="84">
        <f t="shared" si="16"/>
        <v>0</v>
      </c>
      <c r="K160" s="81"/>
      <c r="L160" s="82">
        <f t="shared" si="17"/>
        <v>0</v>
      </c>
      <c r="M160" s="81">
        <f t="shared" si="15"/>
        <v>0</v>
      </c>
      <c r="N160" s="81"/>
      <c r="O160" s="81"/>
      <c r="P160" s="81"/>
    </row>
    <row r="161" spans="1:16" s="68" customFormat="1" ht="18" customHeight="1">
      <c r="A161" s="80"/>
      <c r="B161" s="80"/>
      <c r="C161" s="81"/>
      <c r="D161" s="81"/>
      <c r="E161" s="81"/>
      <c r="F161" s="82">
        <f t="shared" si="14"/>
        <v>0</v>
      </c>
      <c r="G161" s="87" t="s">
        <v>796</v>
      </c>
      <c r="H161" s="87"/>
      <c r="I161" s="81"/>
      <c r="J161" s="84">
        <f t="shared" si="16"/>
        <v>0</v>
      </c>
      <c r="K161" s="81"/>
      <c r="L161" s="82">
        <f t="shared" si="17"/>
        <v>0</v>
      </c>
      <c r="M161" s="81">
        <f t="shared" si="15"/>
        <v>0</v>
      </c>
      <c r="N161" s="81"/>
      <c r="O161" s="81"/>
      <c r="P161" s="81"/>
    </row>
    <row r="162" spans="1:16" s="68" customFormat="1" ht="18" customHeight="1">
      <c r="A162" s="80"/>
      <c r="B162" s="80"/>
      <c r="C162" s="81"/>
      <c r="D162" s="81"/>
      <c r="E162" s="81"/>
      <c r="F162" s="82">
        <f t="shared" si="14"/>
        <v>0</v>
      </c>
      <c r="G162" s="87" t="s">
        <v>797</v>
      </c>
      <c r="H162" s="87"/>
      <c r="I162" s="81"/>
      <c r="J162" s="84">
        <f t="shared" si="16"/>
        <v>0</v>
      </c>
      <c r="K162" s="81"/>
      <c r="L162" s="82">
        <f t="shared" si="17"/>
        <v>0</v>
      </c>
      <c r="M162" s="81">
        <f t="shared" si="15"/>
        <v>0</v>
      </c>
      <c r="N162" s="81"/>
      <c r="O162" s="81"/>
      <c r="P162" s="81"/>
    </row>
    <row r="163" spans="1:16" s="68" customFormat="1" ht="18" customHeight="1">
      <c r="A163" s="80"/>
      <c r="B163" s="80"/>
      <c r="C163" s="81"/>
      <c r="D163" s="81"/>
      <c r="E163" s="81"/>
      <c r="F163" s="82">
        <f t="shared" si="14"/>
        <v>0</v>
      </c>
      <c r="G163" s="87" t="s">
        <v>798</v>
      </c>
      <c r="H163" s="87"/>
      <c r="I163" s="81"/>
      <c r="J163" s="84">
        <f t="shared" si="16"/>
        <v>0</v>
      </c>
      <c r="K163" s="81"/>
      <c r="L163" s="82">
        <f t="shared" si="17"/>
        <v>0</v>
      </c>
      <c r="M163" s="81">
        <f t="shared" si="15"/>
        <v>0</v>
      </c>
      <c r="N163" s="81"/>
      <c r="O163" s="81"/>
      <c r="P163" s="81"/>
    </row>
    <row r="164" spans="1:16" s="68" customFormat="1" ht="18" customHeight="1">
      <c r="A164" s="80"/>
      <c r="B164" s="80"/>
      <c r="C164" s="81"/>
      <c r="D164" s="81"/>
      <c r="E164" s="81"/>
      <c r="F164" s="82">
        <f t="shared" si="14"/>
        <v>0</v>
      </c>
      <c r="G164" s="87" t="s">
        <v>799</v>
      </c>
      <c r="H164" s="87"/>
      <c r="I164" s="81"/>
      <c r="J164" s="84">
        <f t="shared" si="16"/>
        <v>0</v>
      </c>
      <c r="K164" s="81"/>
      <c r="L164" s="82">
        <f t="shared" si="17"/>
        <v>0</v>
      </c>
      <c r="M164" s="81">
        <f t="shared" si="15"/>
        <v>0</v>
      </c>
      <c r="N164" s="81"/>
      <c r="O164" s="81"/>
      <c r="P164" s="81"/>
    </row>
    <row r="165" spans="1:16" s="68" customFormat="1" ht="18" customHeight="1">
      <c r="A165" s="80"/>
      <c r="B165" s="80"/>
      <c r="C165" s="81"/>
      <c r="D165" s="81"/>
      <c r="E165" s="81"/>
      <c r="F165" s="82">
        <f t="shared" si="14"/>
        <v>0</v>
      </c>
      <c r="G165" s="87" t="s">
        <v>800</v>
      </c>
      <c r="H165" s="87"/>
      <c r="I165" s="81"/>
      <c r="J165" s="84">
        <f t="shared" si="16"/>
        <v>0</v>
      </c>
      <c r="K165" s="81"/>
      <c r="L165" s="82">
        <f t="shared" si="17"/>
        <v>0</v>
      </c>
      <c r="M165" s="81">
        <f t="shared" si="15"/>
        <v>0</v>
      </c>
      <c r="N165" s="81"/>
      <c r="O165" s="81"/>
      <c r="P165" s="81"/>
    </row>
    <row r="166" spans="1:16" s="68" customFormat="1" ht="18" customHeight="1">
      <c r="A166" s="80"/>
      <c r="B166" s="80"/>
      <c r="C166" s="81"/>
      <c r="D166" s="81"/>
      <c r="E166" s="81"/>
      <c r="F166" s="82">
        <f t="shared" si="14"/>
        <v>0</v>
      </c>
      <c r="G166" s="87" t="s">
        <v>801</v>
      </c>
      <c r="H166" s="81">
        <f>SUM(H167:H171)</f>
        <v>0</v>
      </c>
      <c r="I166" s="81">
        <f>SUM(I167:I171)</f>
        <v>0</v>
      </c>
      <c r="J166" s="84">
        <f t="shared" si="16"/>
        <v>0</v>
      </c>
      <c r="K166" s="81">
        <f>SUM(K167:K171)</f>
        <v>0</v>
      </c>
      <c r="L166" s="82">
        <f t="shared" si="17"/>
        <v>0</v>
      </c>
      <c r="M166" s="81">
        <f t="shared" si="15"/>
        <v>0</v>
      </c>
      <c r="N166" s="81">
        <f>SUM(N167:N171)</f>
        <v>0</v>
      </c>
      <c r="O166" s="81">
        <f>SUM(O167:O171)</f>
        <v>0</v>
      </c>
      <c r="P166" s="81">
        <f>SUM(P167:P171)</f>
        <v>0</v>
      </c>
    </row>
    <row r="167" spans="1:16" s="68" customFormat="1" ht="18" customHeight="1">
      <c r="A167" s="80"/>
      <c r="B167" s="80"/>
      <c r="C167" s="81"/>
      <c r="D167" s="81"/>
      <c r="E167" s="81"/>
      <c r="F167" s="82">
        <f t="shared" si="14"/>
        <v>0</v>
      </c>
      <c r="G167" s="87" t="s">
        <v>802</v>
      </c>
      <c r="H167" s="88"/>
      <c r="I167" s="81"/>
      <c r="J167" s="84">
        <f t="shared" si="16"/>
        <v>0</v>
      </c>
      <c r="K167" s="81"/>
      <c r="L167" s="82">
        <f t="shared" si="17"/>
        <v>0</v>
      </c>
      <c r="M167" s="81">
        <f t="shared" si="15"/>
        <v>0</v>
      </c>
      <c r="N167" s="81"/>
      <c r="O167" s="81"/>
      <c r="P167" s="81"/>
    </row>
    <row r="168" spans="1:16" s="68" customFormat="1" ht="18" customHeight="1">
      <c r="A168" s="80"/>
      <c r="B168" s="80"/>
      <c r="C168" s="81"/>
      <c r="D168" s="81"/>
      <c r="E168" s="81"/>
      <c r="F168" s="82">
        <f t="shared" si="14"/>
        <v>0</v>
      </c>
      <c r="G168" s="87" t="s">
        <v>803</v>
      </c>
      <c r="H168" s="87"/>
      <c r="I168" s="81"/>
      <c r="J168" s="84">
        <f t="shared" si="16"/>
        <v>0</v>
      </c>
      <c r="K168" s="81"/>
      <c r="L168" s="82">
        <f t="shared" si="17"/>
        <v>0</v>
      </c>
      <c r="M168" s="81">
        <f t="shared" si="15"/>
        <v>0</v>
      </c>
      <c r="N168" s="81"/>
      <c r="O168" s="81"/>
      <c r="P168" s="81"/>
    </row>
    <row r="169" spans="1:16" s="68" customFormat="1" ht="18" customHeight="1">
      <c r="A169" s="80"/>
      <c r="B169" s="80"/>
      <c r="C169" s="81"/>
      <c r="D169" s="81"/>
      <c r="E169" s="81"/>
      <c r="F169" s="82">
        <f t="shared" si="14"/>
        <v>0</v>
      </c>
      <c r="G169" s="87" t="s">
        <v>804</v>
      </c>
      <c r="H169" s="87"/>
      <c r="I169" s="81"/>
      <c r="J169" s="84">
        <f t="shared" si="16"/>
        <v>0</v>
      </c>
      <c r="K169" s="81"/>
      <c r="L169" s="82">
        <f t="shared" si="17"/>
        <v>0</v>
      </c>
      <c r="M169" s="81">
        <f t="shared" si="15"/>
        <v>0</v>
      </c>
      <c r="N169" s="81"/>
      <c r="O169" s="81"/>
      <c r="P169" s="81"/>
    </row>
    <row r="170" spans="1:16" s="68" customFormat="1" ht="18" customHeight="1">
      <c r="A170" s="80"/>
      <c r="B170" s="80"/>
      <c r="C170" s="81"/>
      <c r="D170" s="81"/>
      <c r="E170" s="81"/>
      <c r="F170" s="82">
        <f t="shared" si="14"/>
        <v>0</v>
      </c>
      <c r="G170" s="87" t="s">
        <v>805</v>
      </c>
      <c r="H170" s="88"/>
      <c r="I170" s="81"/>
      <c r="J170" s="84">
        <f t="shared" si="16"/>
        <v>0</v>
      </c>
      <c r="K170" s="81"/>
      <c r="L170" s="82">
        <f t="shared" si="17"/>
        <v>0</v>
      </c>
      <c r="M170" s="81">
        <f t="shared" si="15"/>
        <v>0</v>
      </c>
      <c r="N170" s="81"/>
      <c r="O170" s="81"/>
      <c r="P170" s="81"/>
    </row>
    <row r="171" spans="1:16" s="68" customFormat="1" ht="18" customHeight="1">
      <c r="A171" s="80"/>
      <c r="B171" s="80"/>
      <c r="C171" s="81"/>
      <c r="D171" s="81"/>
      <c r="E171" s="81"/>
      <c r="F171" s="82">
        <f t="shared" si="14"/>
        <v>0</v>
      </c>
      <c r="G171" s="87" t="s">
        <v>806</v>
      </c>
      <c r="H171" s="88"/>
      <c r="I171" s="88"/>
      <c r="J171" s="84">
        <f t="shared" si="16"/>
        <v>0</v>
      </c>
      <c r="K171" s="88"/>
      <c r="L171" s="82">
        <f t="shared" si="17"/>
        <v>0</v>
      </c>
      <c r="M171" s="81">
        <f t="shared" si="15"/>
        <v>0</v>
      </c>
      <c r="N171" s="88"/>
      <c r="O171" s="88"/>
      <c r="P171" s="88"/>
    </row>
    <row r="172" spans="1:16" s="68" customFormat="1" ht="18" customHeight="1">
      <c r="A172" s="80"/>
      <c r="B172" s="80"/>
      <c r="C172" s="81"/>
      <c r="D172" s="81"/>
      <c r="E172" s="81"/>
      <c r="F172" s="82">
        <f t="shared" si="14"/>
        <v>0</v>
      </c>
      <c r="G172" s="87" t="s">
        <v>807</v>
      </c>
      <c r="H172" s="81">
        <f>SUM(H173:H174)</f>
        <v>0</v>
      </c>
      <c r="I172" s="81">
        <f>SUM(I173:I174)</f>
        <v>0</v>
      </c>
      <c r="J172" s="84">
        <f t="shared" si="16"/>
        <v>0</v>
      </c>
      <c r="K172" s="81">
        <f>SUM(K173:K174)</f>
        <v>0</v>
      </c>
      <c r="L172" s="82">
        <f t="shared" si="17"/>
        <v>0</v>
      </c>
      <c r="M172" s="81">
        <f t="shared" si="15"/>
        <v>0</v>
      </c>
      <c r="N172" s="81">
        <f>SUM(N173:N174)</f>
        <v>0</v>
      </c>
      <c r="O172" s="81">
        <f>SUM(O173:O174)</f>
        <v>0</v>
      </c>
      <c r="P172" s="81">
        <f>SUM(P173:P174)</f>
        <v>0</v>
      </c>
    </row>
    <row r="173" spans="1:16" s="68" customFormat="1" ht="18" customHeight="1">
      <c r="A173" s="80"/>
      <c r="B173" s="80"/>
      <c r="C173" s="81"/>
      <c r="D173" s="81"/>
      <c r="E173" s="81"/>
      <c r="F173" s="82">
        <f t="shared" si="14"/>
        <v>0</v>
      </c>
      <c r="G173" s="87" t="s">
        <v>808</v>
      </c>
      <c r="H173" s="87"/>
      <c r="I173" s="81"/>
      <c r="J173" s="84">
        <f t="shared" si="16"/>
        <v>0</v>
      </c>
      <c r="K173" s="81"/>
      <c r="L173" s="82">
        <f t="shared" si="17"/>
        <v>0</v>
      </c>
      <c r="M173" s="81">
        <f t="shared" si="15"/>
        <v>0</v>
      </c>
      <c r="N173" s="81"/>
      <c r="O173" s="81"/>
      <c r="P173" s="81"/>
    </row>
    <row r="174" spans="1:16" s="68" customFormat="1" ht="18" customHeight="1">
      <c r="A174" s="80"/>
      <c r="B174" s="80"/>
      <c r="C174" s="81"/>
      <c r="D174" s="81"/>
      <c r="E174" s="81"/>
      <c r="F174" s="82">
        <f t="shared" si="14"/>
        <v>0</v>
      </c>
      <c r="G174" s="87" t="s">
        <v>809</v>
      </c>
      <c r="H174" s="87"/>
      <c r="I174" s="81"/>
      <c r="J174" s="84">
        <f t="shared" si="16"/>
        <v>0</v>
      </c>
      <c r="K174" s="81"/>
      <c r="L174" s="82">
        <f t="shared" si="17"/>
        <v>0</v>
      </c>
      <c r="M174" s="81">
        <f t="shared" si="15"/>
        <v>0</v>
      </c>
      <c r="N174" s="81"/>
      <c r="O174" s="81"/>
      <c r="P174" s="81"/>
    </row>
    <row r="175" spans="1:16" s="68" customFormat="1" ht="18" customHeight="1">
      <c r="A175" s="80"/>
      <c r="B175" s="80"/>
      <c r="C175" s="81"/>
      <c r="D175" s="81"/>
      <c r="E175" s="81"/>
      <c r="F175" s="82">
        <f t="shared" si="14"/>
        <v>0</v>
      </c>
      <c r="G175" s="93" t="s">
        <v>810</v>
      </c>
      <c r="H175" s="93"/>
      <c r="I175" s="81"/>
      <c r="J175" s="84">
        <f t="shared" si="16"/>
        <v>0</v>
      </c>
      <c r="K175" s="81"/>
      <c r="L175" s="82">
        <f t="shared" si="17"/>
        <v>0</v>
      </c>
      <c r="M175" s="81">
        <f t="shared" si="15"/>
        <v>0</v>
      </c>
      <c r="N175" s="81"/>
      <c r="O175" s="81"/>
      <c r="P175" s="81"/>
    </row>
    <row r="176" spans="1:16" s="68" customFormat="1" ht="18" customHeight="1">
      <c r="A176" s="80"/>
      <c r="B176" s="80"/>
      <c r="C176" s="81"/>
      <c r="D176" s="81"/>
      <c r="E176" s="81"/>
      <c r="F176" s="82">
        <f t="shared" si="14"/>
        <v>0</v>
      </c>
      <c r="G176" s="268" t="s">
        <v>811</v>
      </c>
      <c r="H176" s="81">
        <f>SUM(H177+H178+H187)</f>
        <v>6979</v>
      </c>
      <c r="I176" s="81">
        <f>SUM(I177+I178+I187)</f>
        <v>1852</v>
      </c>
      <c r="J176" s="84">
        <f t="shared" si="16"/>
        <v>4783</v>
      </c>
      <c r="K176" s="81">
        <f>SUM(K177+K178+K187)</f>
        <v>6635</v>
      </c>
      <c r="L176" s="82">
        <f t="shared" si="17"/>
        <v>-4.929072933084965</v>
      </c>
      <c r="M176" s="81">
        <f t="shared" si="15"/>
        <v>774</v>
      </c>
      <c r="N176" s="81">
        <f>SUM(N177+N178+N187)</f>
        <v>223</v>
      </c>
      <c r="O176" s="81">
        <f>SUM(O177+O178+O187)</f>
        <v>551</v>
      </c>
      <c r="P176" s="81">
        <f>SUM(P177+P178+P187)</f>
        <v>0</v>
      </c>
    </row>
    <row r="177" spans="1:16" s="68" customFormat="1" ht="18" customHeight="1">
      <c r="A177" s="80"/>
      <c r="B177" s="80"/>
      <c r="C177" s="81"/>
      <c r="D177" s="81"/>
      <c r="E177" s="81"/>
      <c r="F177" s="82">
        <f t="shared" si="14"/>
        <v>0</v>
      </c>
      <c r="G177" s="270" t="s">
        <v>812</v>
      </c>
      <c r="H177" s="88">
        <v>6594</v>
      </c>
      <c r="I177" s="81">
        <v>110</v>
      </c>
      <c r="J177" s="84">
        <f t="shared" si="16"/>
        <v>4635</v>
      </c>
      <c r="K177" s="81">
        <v>4745</v>
      </c>
      <c r="L177" s="82">
        <f t="shared" si="17"/>
        <v>-28.040643008795875</v>
      </c>
      <c r="M177" s="81">
        <f t="shared" si="15"/>
        <v>333</v>
      </c>
      <c r="N177" s="99">
        <v>223</v>
      </c>
      <c r="O177" s="81">
        <v>110</v>
      </c>
      <c r="P177" s="81"/>
    </row>
    <row r="178" spans="1:16" s="68" customFormat="1" ht="18" customHeight="1">
      <c r="A178" s="80"/>
      <c r="B178" s="80"/>
      <c r="C178" s="81"/>
      <c r="D178" s="81"/>
      <c r="E178" s="81"/>
      <c r="F178" s="82">
        <f t="shared" si="14"/>
        <v>0</v>
      </c>
      <c r="G178" s="87" t="s">
        <v>813</v>
      </c>
      <c r="H178" s="81">
        <f>SUM(H179:H186)</f>
        <v>0</v>
      </c>
      <c r="I178" s="81">
        <f>SUM(I179:I186)</f>
        <v>0</v>
      </c>
      <c r="J178" s="84">
        <f t="shared" si="16"/>
        <v>0</v>
      </c>
      <c r="K178" s="81">
        <f>SUM(K179:K186)</f>
        <v>0</v>
      </c>
      <c r="L178" s="82">
        <f t="shared" si="17"/>
        <v>0</v>
      </c>
      <c r="M178" s="81">
        <f t="shared" si="15"/>
        <v>0</v>
      </c>
      <c r="N178" s="81">
        <f>SUM(N179:N186)</f>
        <v>0</v>
      </c>
      <c r="O178" s="81">
        <f>SUM(O179:O186)</f>
        <v>0</v>
      </c>
      <c r="P178" s="81">
        <f>SUM(P179:P186)</f>
        <v>0</v>
      </c>
    </row>
    <row r="179" spans="1:16" s="68" customFormat="1" ht="18" customHeight="1">
      <c r="A179" s="80"/>
      <c r="B179" s="80"/>
      <c r="C179" s="81"/>
      <c r="D179" s="81"/>
      <c r="E179" s="81"/>
      <c r="F179" s="82">
        <f t="shared" si="14"/>
        <v>0</v>
      </c>
      <c r="G179" s="93" t="s">
        <v>814</v>
      </c>
      <c r="H179" s="93"/>
      <c r="I179" s="81"/>
      <c r="J179" s="84">
        <f t="shared" si="16"/>
        <v>0</v>
      </c>
      <c r="K179" s="81"/>
      <c r="L179" s="82">
        <f t="shared" si="17"/>
        <v>0</v>
      </c>
      <c r="M179" s="81">
        <f t="shared" si="15"/>
        <v>0</v>
      </c>
      <c r="N179" s="81"/>
      <c r="O179" s="81"/>
      <c r="P179" s="81"/>
    </row>
    <row r="180" spans="1:16" s="68" customFormat="1" ht="18" customHeight="1">
      <c r="A180" s="80"/>
      <c r="B180" s="80"/>
      <c r="C180" s="81"/>
      <c r="D180" s="81"/>
      <c r="E180" s="81"/>
      <c r="F180" s="82">
        <f t="shared" si="14"/>
        <v>0</v>
      </c>
      <c r="G180" s="87" t="s">
        <v>815</v>
      </c>
      <c r="H180" s="87"/>
      <c r="I180" s="81"/>
      <c r="J180" s="84">
        <f t="shared" si="16"/>
        <v>0</v>
      </c>
      <c r="K180" s="81"/>
      <c r="L180" s="82">
        <f t="shared" si="17"/>
        <v>0</v>
      </c>
      <c r="M180" s="81">
        <f t="shared" si="15"/>
        <v>0</v>
      </c>
      <c r="N180" s="81"/>
      <c r="O180" s="81"/>
      <c r="P180" s="81"/>
    </row>
    <row r="181" spans="1:16" s="68" customFormat="1" ht="18" customHeight="1">
      <c r="A181" s="80"/>
      <c r="B181" s="80"/>
      <c r="C181" s="81"/>
      <c r="D181" s="81"/>
      <c r="E181" s="81"/>
      <c r="F181" s="82">
        <f t="shared" si="14"/>
        <v>0</v>
      </c>
      <c r="G181" s="87" t="s">
        <v>816</v>
      </c>
      <c r="H181" s="87"/>
      <c r="I181" s="81"/>
      <c r="J181" s="84">
        <f t="shared" si="16"/>
        <v>0</v>
      </c>
      <c r="K181" s="81"/>
      <c r="L181" s="82">
        <f t="shared" si="17"/>
        <v>0</v>
      </c>
      <c r="M181" s="81">
        <f t="shared" si="15"/>
        <v>0</v>
      </c>
      <c r="N181" s="81"/>
      <c r="O181" s="81"/>
      <c r="P181" s="81"/>
    </row>
    <row r="182" spans="1:16" s="68" customFormat="1" ht="18" customHeight="1">
      <c r="A182" s="80"/>
      <c r="B182" s="80"/>
      <c r="C182" s="81"/>
      <c r="D182" s="81"/>
      <c r="E182" s="81"/>
      <c r="F182" s="82">
        <f t="shared" si="14"/>
        <v>0</v>
      </c>
      <c r="G182" s="87" t="s">
        <v>817</v>
      </c>
      <c r="H182" s="87"/>
      <c r="I182" s="81"/>
      <c r="J182" s="84">
        <f t="shared" si="16"/>
        <v>0</v>
      </c>
      <c r="K182" s="81"/>
      <c r="L182" s="82">
        <f t="shared" si="17"/>
        <v>0</v>
      </c>
      <c r="M182" s="81">
        <f t="shared" si="15"/>
        <v>0</v>
      </c>
      <c r="N182" s="81"/>
      <c r="O182" s="81"/>
      <c r="P182" s="81"/>
    </row>
    <row r="183" spans="1:16" s="68" customFormat="1" ht="18" customHeight="1">
      <c r="A183" s="80"/>
      <c r="B183" s="80"/>
      <c r="C183" s="81"/>
      <c r="D183" s="81"/>
      <c r="E183" s="81"/>
      <c r="F183" s="82">
        <f t="shared" si="14"/>
        <v>0</v>
      </c>
      <c r="G183" s="87" t="s">
        <v>818</v>
      </c>
      <c r="H183" s="87"/>
      <c r="I183" s="81"/>
      <c r="J183" s="84">
        <f t="shared" si="16"/>
        <v>0</v>
      </c>
      <c r="K183" s="81"/>
      <c r="L183" s="82">
        <f t="shared" si="17"/>
        <v>0</v>
      </c>
      <c r="M183" s="81">
        <f t="shared" si="15"/>
        <v>0</v>
      </c>
      <c r="N183" s="81"/>
      <c r="O183" s="81"/>
      <c r="P183" s="81"/>
    </row>
    <row r="184" spans="1:16" s="68" customFormat="1" ht="18" customHeight="1">
      <c r="A184" s="80"/>
      <c r="B184" s="80"/>
      <c r="C184" s="81"/>
      <c r="D184" s="81"/>
      <c r="E184" s="81"/>
      <c r="F184" s="82">
        <f t="shared" si="14"/>
        <v>0</v>
      </c>
      <c r="G184" s="87" t="s">
        <v>819</v>
      </c>
      <c r="H184" s="87"/>
      <c r="I184" s="81"/>
      <c r="J184" s="84">
        <f t="shared" si="16"/>
        <v>0</v>
      </c>
      <c r="K184" s="81"/>
      <c r="L184" s="82">
        <f t="shared" si="17"/>
        <v>0</v>
      </c>
      <c r="M184" s="81">
        <f t="shared" si="15"/>
        <v>0</v>
      </c>
      <c r="N184" s="81"/>
      <c r="O184" s="81"/>
      <c r="P184" s="81"/>
    </row>
    <row r="185" spans="1:16" s="68" customFormat="1" ht="18" customHeight="1">
      <c r="A185" s="80"/>
      <c r="B185" s="80"/>
      <c r="C185" s="81"/>
      <c r="D185" s="81"/>
      <c r="E185" s="81"/>
      <c r="F185" s="82">
        <f t="shared" si="14"/>
        <v>0</v>
      </c>
      <c r="G185" s="87" t="s">
        <v>820</v>
      </c>
      <c r="H185" s="87"/>
      <c r="I185" s="81"/>
      <c r="J185" s="84">
        <f t="shared" si="16"/>
        <v>0</v>
      </c>
      <c r="K185" s="81"/>
      <c r="L185" s="82">
        <f t="shared" si="17"/>
        <v>0</v>
      </c>
      <c r="M185" s="81">
        <f t="shared" si="15"/>
        <v>0</v>
      </c>
      <c r="N185" s="81"/>
      <c r="O185" s="81"/>
      <c r="P185" s="81"/>
    </row>
    <row r="186" spans="1:16" s="68" customFormat="1" ht="18" customHeight="1">
      <c r="A186" s="80"/>
      <c r="B186" s="80"/>
      <c r="C186" s="81"/>
      <c r="D186" s="81"/>
      <c r="E186" s="81"/>
      <c r="F186" s="82">
        <f t="shared" si="14"/>
        <v>0</v>
      </c>
      <c r="G186" s="87" t="s">
        <v>821</v>
      </c>
      <c r="H186" s="87"/>
      <c r="I186" s="81"/>
      <c r="J186" s="84">
        <f t="shared" si="16"/>
        <v>0</v>
      </c>
      <c r="K186" s="81"/>
      <c r="L186" s="82">
        <f t="shared" si="17"/>
        <v>0</v>
      </c>
      <c r="M186" s="81">
        <f t="shared" si="15"/>
        <v>0</v>
      </c>
      <c r="N186" s="81"/>
      <c r="O186" s="81"/>
      <c r="P186" s="81"/>
    </row>
    <row r="187" spans="1:16" s="68" customFormat="1" ht="18" customHeight="1">
      <c r="A187" s="80"/>
      <c r="B187" s="80"/>
      <c r="C187" s="81"/>
      <c r="D187" s="81"/>
      <c r="E187" s="81"/>
      <c r="F187" s="82">
        <f t="shared" si="14"/>
        <v>0</v>
      </c>
      <c r="G187" s="270" t="s">
        <v>822</v>
      </c>
      <c r="H187" s="81">
        <f>SUM(H188:H197)</f>
        <v>385</v>
      </c>
      <c r="I187" s="81">
        <f>SUM(I188:I197)</f>
        <v>1742</v>
      </c>
      <c r="J187" s="84">
        <f t="shared" si="16"/>
        <v>148</v>
      </c>
      <c r="K187" s="81">
        <f>SUM(K188:K197)</f>
        <v>1890</v>
      </c>
      <c r="L187" s="82">
        <f t="shared" si="17"/>
        <v>390.90909090909093</v>
      </c>
      <c r="M187" s="81">
        <f t="shared" si="15"/>
        <v>441</v>
      </c>
      <c r="N187" s="81">
        <f>SUM(N188:N197)</f>
        <v>0</v>
      </c>
      <c r="O187" s="81">
        <f>SUM(O188:O197)</f>
        <v>441</v>
      </c>
      <c r="P187" s="81">
        <f>SUM(P188:P197)</f>
        <v>0</v>
      </c>
    </row>
    <row r="188" spans="1:16" s="68" customFormat="1" ht="18" customHeight="1">
      <c r="A188" s="80"/>
      <c r="B188" s="80"/>
      <c r="C188" s="81"/>
      <c r="D188" s="81"/>
      <c r="E188" s="81"/>
      <c r="F188" s="82">
        <f t="shared" si="14"/>
        <v>0</v>
      </c>
      <c r="G188" s="93" t="s">
        <v>823</v>
      </c>
      <c r="H188" s="81">
        <v>216</v>
      </c>
      <c r="I188" s="60">
        <v>1319</v>
      </c>
      <c r="J188" s="84">
        <f t="shared" si="16"/>
        <v>200</v>
      </c>
      <c r="K188" s="60">
        <v>1519</v>
      </c>
      <c r="L188" s="82">
        <f t="shared" si="17"/>
        <v>603.2407407407408</v>
      </c>
      <c r="M188" s="81">
        <f t="shared" si="15"/>
        <v>262</v>
      </c>
      <c r="N188" s="81"/>
      <c r="O188" s="81">
        <v>262</v>
      </c>
      <c r="P188" s="81"/>
    </row>
    <row r="189" spans="1:16" s="68" customFormat="1" ht="18" customHeight="1">
      <c r="A189" s="80"/>
      <c r="B189" s="80"/>
      <c r="C189" s="81"/>
      <c r="D189" s="81"/>
      <c r="E189" s="81"/>
      <c r="F189" s="82">
        <f t="shared" si="14"/>
        <v>0</v>
      </c>
      <c r="G189" s="87" t="s">
        <v>824</v>
      </c>
      <c r="H189" s="81">
        <v>1</v>
      </c>
      <c r="I189" s="60">
        <v>145</v>
      </c>
      <c r="J189" s="84">
        <f t="shared" si="16"/>
        <v>-22</v>
      </c>
      <c r="K189" s="60">
        <v>123</v>
      </c>
      <c r="L189" s="82">
        <f t="shared" si="17"/>
        <v>12200</v>
      </c>
      <c r="M189" s="81">
        <f t="shared" si="15"/>
        <v>27</v>
      </c>
      <c r="N189" s="81"/>
      <c r="O189" s="81">
        <v>27</v>
      </c>
      <c r="P189" s="81"/>
    </row>
    <row r="190" spans="1:16" s="68" customFormat="1" ht="18" customHeight="1">
      <c r="A190" s="80"/>
      <c r="B190" s="80"/>
      <c r="C190" s="81"/>
      <c r="D190" s="81"/>
      <c r="E190" s="81"/>
      <c r="F190" s="82">
        <f t="shared" si="14"/>
        <v>0</v>
      </c>
      <c r="G190" s="87" t="s">
        <v>825</v>
      </c>
      <c r="H190" s="81">
        <v>9</v>
      </c>
      <c r="I190" s="60">
        <v>74</v>
      </c>
      <c r="J190" s="84">
        <f t="shared" si="16"/>
        <v>-30</v>
      </c>
      <c r="K190" s="60">
        <v>44</v>
      </c>
      <c r="L190" s="82">
        <f t="shared" si="17"/>
        <v>388.8888888888889</v>
      </c>
      <c r="M190" s="81">
        <f t="shared" si="15"/>
        <v>23</v>
      </c>
      <c r="N190" s="81"/>
      <c r="O190" s="81">
        <v>23</v>
      </c>
      <c r="P190" s="81"/>
    </row>
    <row r="191" spans="1:16" s="68" customFormat="1" ht="18" customHeight="1">
      <c r="A191" s="80"/>
      <c r="B191" s="80"/>
      <c r="C191" s="81"/>
      <c r="D191" s="81"/>
      <c r="E191" s="81"/>
      <c r="F191" s="82">
        <f t="shared" si="14"/>
        <v>0</v>
      </c>
      <c r="G191" s="87" t="s">
        <v>826</v>
      </c>
      <c r="H191" s="81">
        <v>0</v>
      </c>
      <c r="I191" s="60"/>
      <c r="J191" s="84">
        <f t="shared" si="16"/>
        <v>0</v>
      </c>
      <c r="K191" s="60"/>
      <c r="L191" s="82">
        <f t="shared" si="17"/>
        <v>0</v>
      </c>
      <c r="M191" s="81">
        <f t="shared" si="15"/>
        <v>0</v>
      </c>
      <c r="N191" s="81"/>
      <c r="O191" s="81"/>
      <c r="P191" s="81"/>
    </row>
    <row r="192" spans="1:16" s="68" customFormat="1" ht="18" customHeight="1">
      <c r="A192" s="80"/>
      <c r="B192" s="80"/>
      <c r="C192" s="81"/>
      <c r="D192" s="81"/>
      <c r="E192" s="81"/>
      <c r="F192" s="82">
        <f t="shared" si="14"/>
        <v>0</v>
      </c>
      <c r="G192" s="87" t="s">
        <v>827</v>
      </c>
      <c r="H192" s="81">
        <v>30</v>
      </c>
      <c r="I192" s="60">
        <v>204</v>
      </c>
      <c r="J192" s="84">
        <f t="shared" si="16"/>
        <v>0</v>
      </c>
      <c r="K192" s="60">
        <v>204</v>
      </c>
      <c r="L192" s="82">
        <f t="shared" si="17"/>
        <v>580</v>
      </c>
      <c r="M192" s="81">
        <f t="shared" si="15"/>
        <v>11</v>
      </c>
      <c r="N192" s="81"/>
      <c r="O192" s="81">
        <v>11</v>
      </c>
      <c r="P192" s="81"/>
    </row>
    <row r="193" spans="1:16" s="68" customFormat="1" ht="18" customHeight="1">
      <c r="A193" s="80"/>
      <c r="B193" s="80"/>
      <c r="C193" s="81"/>
      <c r="D193" s="81"/>
      <c r="E193" s="81"/>
      <c r="F193" s="82">
        <f t="shared" si="14"/>
        <v>0</v>
      </c>
      <c r="G193" s="87" t="s">
        <v>828</v>
      </c>
      <c r="H193" s="81">
        <v>0</v>
      </c>
      <c r="I193" s="60"/>
      <c r="J193" s="84">
        <f t="shared" si="16"/>
        <v>0</v>
      </c>
      <c r="K193" s="60"/>
      <c r="L193" s="82">
        <f t="shared" si="17"/>
        <v>0</v>
      </c>
      <c r="M193" s="81">
        <f t="shared" si="15"/>
        <v>0</v>
      </c>
      <c r="N193" s="81"/>
      <c r="O193" s="81"/>
      <c r="P193" s="81"/>
    </row>
    <row r="194" spans="1:16" s="68" customFormat="1" ht="18" customHeight="1">
      <c r="A194" s="80"/>
      <c r="B194" s="80"/>
      <c r="C194" s="81"/>
      <c r="D194" s="81"/>
      <c r="E194" s="81"/>
      <c r="F194" s="82">
        <f t="shared" si="14"/>
        <v>0</v>
      </c>
      <c r="G194" s="87" t="s">
        <v>829</v>
      </c>
      <c r="H194" s="81"/>
      <c r="I194" s="60"/>
      <c r="J194" s="84">
        <f t="shared" si="16"/>
        <v>0</v>
      </c>
      <c r="K194" s="60"/>
      <c r="L194" s="82">
        <f t="shared" si="17"/>
        <v>0</v>
      </c>
      <c r="M194" s="81">
        <f t="shared" si="15"/>
        <v>0</v>
      </c>
      <c r="N194" s="81"/>
      <c r="O194" s="81"/>
      <c r="P194" s="81"/>
    </row>
    <row r="195" spans="1:16" s="68" customFormat="1" ht="18" customHeight="1">
      <c r="A195" s="80"/>
      <c r="B195" s="80"/>
      <c r="C195" s="81"/>
      <c r="D195" s="81"/>
      <c r="E195" s="81"/>
      <c r="F195" s="82">
        <f t="shared" si="14"/>
        <v>0</v>
      </c>
      <c r="G195" s="87" t="s">
        <v>830</v>
      </c>
      <c r="H195" s="81">
        <v>0</v>
      </c>
      <c r="I195" s="60"/>
      <c r="J195" s="84">
        <f t="shared" si="16"/>
        <v>0</v>
      </c>
      <c r="K195" s="60"/>
      <c r="L195" s="82">
        <f t="shared" si="17"/>
        <v>0</v>
      </c>
      <c r="M195" s="81">
        <f t="shared" si="15"/>
        <v>0</v>
      </c>
      <c r="N195" s="81"/>
      <c r="O195" s="81"/>
      <c r="P195" s="81"/>
    </row>
    <row r="196" spans="1:16" s="68" customFormat="1" ht="18" customHeight="1">
      <c r="A196" s="80"/>
      <c r="B196" s="80"/>
      <c r="C196" s="81"/>
      <c r="D196" s="81"/>
      <c r="E196" s="81"/>
      <c r="F196" s="82">
        <f t="shared" si="14"/>
        <v>0</v>
      </c>
      <c r="G196" s="87" t="s">
        <v>831</v>
      </c>
      <c r="H196" s="81">
        <v>129</v>
      </c>
      <c r="I196" s="60"/>
      <c r="J196" s="84">
        <f t="shared" si="16"/>
        <v>0</v>
      </c>
      <c r="K196" s="60"/>
      <c r="L196" s="82">
        <f t="shared" si="17"/>
        <v>-100</v>
      </c>
      <c r="M196" s="81">
        <f t="shared" si="15"/>
        <v>118</v>
      </c>
      <c r="N196" s="81"/>
      <c r="O196" s="81">
        <v>118</v>
      </c>
      <c r="P196" s="81"/>
    </row>
    <row r="197" spans="1:16" s="68" customFormat="1" ht="18" customHeight="1">
      <c r="A197" s="80"/>
      <c r="B197" s="80"/>
      <c r="C197" s="81"/>
      <c r="D197" s="81"/>
      <c r="E197" s="81"/>
      <c r="F197" s="82">
        <f t="shared" si="14"/>
        <v>0</v>
      </c>
      <c r="G197" s="87" t="s">
        <v>832</v>
      </c>
      <c r="H197" s="81"/>
      <c r="I197" s="81"/>
      <c r="J197" s="84">
        <f t="shared" si="16"/>
        <v>0</v>
      </c>
      <c r="K197" s="81"/>
      <c r="L197" s="82">
        <f t="shared" si="17"/>
        <v>0</v>
      </c>
      <c r="M197" s="81">
        <f t="shared" si="15"/>
        <v>0</v>
      </c>
      <c r="N197" s="85"/>
      <c r="O197" s="85"/>
      <c r="P197" s="85"/>
    </row>
    <row r="198" spans="1:16" s="68" customFormat="1" ht="18" customHeight="1">
      <c r="A198" s="80"/>
      <c r="B198" s="100"/>
      <c r="C198" s="101"/>
      <c r="D198" s="101"/>
      <c r="E198" s="101"/>
      <c r="F198" s="82"/>
      <c r="G198" s="271" t="s">
        <v>833</v>
      </c>
      <c r="H198" s="81">
        <v>1332</v>
      </c>
      <c r="I198" s="81">
        <v>1440</v>
      </c>
      <c r="J198" s="84">
        <f t="shared" si="16"/>
        <v>65</v>
      </c>
      <c r="K198" s="81">
        <v>1505</v>
      </c>
      <c r="L198" s="82"/>
      <c r="M198" s="81">
        <f t="shared" si="15"/>
        <v>-1</v>
      </c>
      <c r="N198" s="85"/>
      <c r="O198" s="85"/>
      <c r="P198" s="85">
        <v>-1</v>
      </c>
    </row>
    <row r="199" spans="1:16" s="68" customFormat="1" ht="18" customHeight="1">
      <c r="A199" s="80"/>
      <c r="B199" s="100"/>
      <c r="C199" s="101"/>
      <c r="D199" s="101"/>
      <c r="E199" s="101"/>
      <c r="F199" s="82"/>
      <c r="G199" s="271" t="s">
        <v>834</v>
      </c>
      <c r="H199" s="81">
        <v>9</v>
      </c>
      <c r="I199" s="81"/>
      <c r="J199" s="84"/>
      <c r="K199" s="81"/>
      <c r="L199" s="82"/>
      <c r="M199" s="81">
        <f t="shared" si="15"/>
        <v>0</v>
      </c>
      <c r="N199" s="85"/>
      <c r="O199" s="85"/>
      <c r="P199" s="85"/>
    </row>
    <row r="200" spans="1:16" s="68" customFormat="1" ht="18" customHeight="1">
      <c r="A200" s="80"/>
      <c r="B200" s="100"/>
      <c r="C200" s="101"/>
      <c r="D200" s="101"/>
      <c r="E200" s="101"/>
      <c r="F200" s="82"/>
      <c r="G200" s="271" t="s">
        <v>835</v>
      </c>
      <c r="H200" s="81"/>
      <c r="I200" s="81"/>
      <c r="J200" s="84"/>
      <c r="K200" s="81"/>
      <c r="L200" s="82"/>
      <c r="M200" s="85"/>
      <c r="N200" s="85"/>
      <c r="O200" s="85"/>
      <c r="P200" s="85"/>
    </row>
    <row r="201" spans="1:16" s="68" customFormat="1" ht="18" customHeight="1">
      <c r="A201" s="102" t="s">
        <v>30</v>
      </c>
      <c r="B201" s="103">
        <f>SUM(B5:B14,B21:B24,B30:B31,B34:B36,B40:B45)</f>
        <v>10569</v>
      </c>
      <c r="C201" s="103">
        <f>SUM(C5:C14,C21:C24,C30:C31,C34:C36,C40:C45)</f>
        <v>45040</v>
      </c>
      <c r="D201" s="103">
        <f>SUM(D5:D14,D21:D24,D30:D31,D34:D36,D40:D45)</f>
        <v>-18471</v>
      </c>
      <c r="E201" s="103">
        <f>SUM(E5:E14,E21:E24,E30:E31,E34:E36,E40:E45)</f>
        <v>26569</v>
      </c>
      <c r="F201" s="82">
        <f t="shared" si="14"/>
        <v>151.38612924590785</v>
      </c>
      <c r="G201" s="102" t="s">
        <v>365</v>
      </c>
      <c r="H201" s="92">
        <f>H5+H18+H27+H35+H83+H112+H156+H176+H198+H199+H200</f>
        <v>19121</v>
      </c>
      <c r="I201" s="92">
        <f>I5+I18+I27+I35+I83+I112+I156+I176+I198+I199+I200</f>
        <v>27560</v>
      </c>
      <c r="J201" s="92">
        <f>J5+J18+J27+J35+J83+J112+J156+J176+J198+J199+J200</f>
        <v>6136</v>
      </c>
      <c r="K201" s="92">
        <f>K5+K18+K27+K35+K83+K112+K156+K176+K198+K199+K200</f>
        <v>33696</v>
      </c>
      <c r="L201" s="82">
        <f t="shared" si="17"/>
        <v>76.2250928298729</v>
      </c>
      <c r="M201" s="92">
        <f>SUM(M176+M156+M112+M83+M35+M27+M18+M5+M199+M198+M200)</f>
        <v>-10291</v>
      </c>
      <c r="N201" s="92">
        <f>SUM(N176+N156+N112+N83+N35+N27+N18+N5+N199+N198+N200)</f>
        <v>-13548</v>
      </c>
      <c r="O201" s="92">
        <f>SUM(O176+O156+O112+O83+O35+O27+O18+O5+O199+O198+O200)</f>
        <v>3311</v>
      </c>
      <c r="P201" s="92">
        <f>SUM(P176+P156+P112+P83+P35+P27+P18+P5+P199+P198+P200)</f>
        <v>-54</v>
      </c>
    </row>
    <row r="202" spans="1:16" s="68" customFormat="1" ht="18" customHeight="1">
      <c r="A202" s="98" t="s">
        <v>37</v>
      </c>
      <c r="B202" s="81">
        <f>SUM(B203,B206:B207)</f>
        <v>19455</v>
      </c>
      <c r="C202" s="81">
        <f>SUM(C203,C206:C207)</f>
        <v>11238</v>
      </c>
      <c r="D202" s="81">
        <f aca="true" t="shared" si="18" ref="D202:D207">E202-C202</f>
        <v>6561</v>
      </c>
      <c r="E202" s="81">
        <f>SUM(E203,E206:E207)</f>
        <v>17799</v>
      </c>
      <c r="F202" s="82">
        <f aca="true" t="shared" si="19" ref="F202:F208">IF(B202=0,0,SUM(E202/B202-1)*100)</f>
        <v>-8.511950655358525</v>
      </c>
      <c r="G202" s="98" t="s">
        <v>38</v>
      </c>
      <c r="H202" s="81">
        <f>SUM(H203,H206:H207)</f>
        <v>10903</v>
      </c>
      <c r="I202" s="81">
        <f>SUM(I203,I206:I207)</f>
        <v>28718</v>
      </c>
      <c r="J202" s="84">
        <f aca="true" t="shared" si="20" ref="J202:J208">K202-I202</f>
        <v>-18046</v>
      </c>
      <c r="K202" s="81">
        <f>SUM(K203,K206:K207)</f>
        <v>10672</v>
      </c>
      <c r="L202" s="82">
        <f aca="true" t="shared" si="21" ref="L202:L208">IF(H202=0,0,SUM(K202/H202-1)*100)</f>
        <v>-2.118682931303306</v>
      </c>
      <c r="M202" s="85"/>
      <c r="N202" s="105"/>
      <c r="O202" s="105"/>
      <c r="P202" s="84"/>
    </row>
    <row r="203" spans="1:16" s="68" customFormat="1" ht="18" customHeight="1">
      <c r="A203" s="81" t="s">
        <v>836</v>
      </c>
      <c r="B203" s="81">
        <f>SUM(B204:B205)</f>
        <v>6366</v>
      </c>
      <c r="C203" s="81">
        <f>SUM(C204:C205)</f>
        <v>1303</v>
      </c>
      <c r="D203" s="81">
        <f t="shared" si="18"/>
        <v>1593</v>
      </c>
      <c r="E203" s="81">
        <f>SUM(E204:E205)</f>
        <v>2896</v>
      </c>
      <c r="F203" s="82">
        <f t="shared" si="19"/>
        <v>-54.508325479107754</v>
      </c>
      <c r="G203" s="81" t="s">
        <v>837</v>
      </c>
      <c r="H203" s="81">
        <f>SUM(H204:H205)</f>
        <v>0</v>
      </c>
      <c r="I203" s="81">
        <f>SUM(I204:I205)</f>
        <v>0</v>
      </c>
      <c r="J203" s="84">
        <f t="shared" si="20"/>
        <v>0</v>
      </c>
      <c r="K203" s="81">
        <f>SUM(K204:K205)</f>
        <v>0</v>
      </c>
      <c r="L203" s="82">
        <f t="shared" si="21"/>
        <v>0</v>
      </c>
      <c r="M203" s="81"/>
      <c r="N203" s="106"/>
      <c r="O203" s="106"/>
      <c r="P203" s="84"/>
    </row>
    <row r="204" spans="1:12" s="68" customFormat="1" ht="22.5" customHeight="1">
      <c r="A204" s="81" t="s">
        <v>838</v>
      </c>
      <c r="B204" s="81">
        <v>6366</v>
      </c>
      <c r="C204" s="104">
        <f>973+330</f>
        <v>1303</v>
      </c>
      <c r="D204" s="81">
        <f t="shared" si="18"/>
        <v>1593</v>
      </c>
      <c r="E204" s="104">
        <v>2896</v>
      </c>
      <c r="F204" s="82">
        <f t="shared" si="19"/>
        <v>-54.508325479107754</v>
      </c>
      <c r="G204" s="81" t="s">
        <v>839</v>
      </c>
      <c r="H204" s="81"/>
      <c r="I204" s="81"/>
      <c r="J204" s="84">
        <f t="shared" si="20"/>
        <v>0</v>
      </c>
      <c r="K204" s="81"/>
      <c r="L204" s="82">
        <f t="shared" si="21"/>
        <v>0</v>
      </c>
    </row>
    <row r="205" spans="1:12" s="68" customFormat="1" ht="22.5" customHeight="1">
      <c r="A205" s="81" t="s">
        <v>840</v>
      </c>
      <c r="B205" s="81"/>
      <c r="C205" s="60"/>
      <c r="D205" s="81">
        <f t="shared" si="18"/>
        <v>0</v>
      </c>
      <c r="E205" s="60"/>
      <c r="F205" s="82">
        <f t="shared" si="19"/>
        <v>0</v>
      </c>
      <c r="G205" s="81" t="s">
        <v>841</v>
      </c>
      <c r="H205" s="81"/>
      <c r="I205" s="81"/>
      <c r="J205" s="84">
        <f t="shared" si="20"/>
        <v>0</v>
      </c>
      <c r="K205" s="81"/>
      <c r="L205" s="82">
        <f t="shared" si="21"/>
        <v>0</v>
      </c>
    </row>
    <row r="206" spans="1:12" s="68" customFormat="1" ht="22.5" customHeight="1">
      <c r="A206" s="81" t="s">
        <v>842</v>
      </c>
      <c r="B206" s="81">
        <v>6589</v>
      </c>
      <c r="C206" s="60">
        <v>9935</v>
      </c>
      <c r="D206" s="81">
        <f t="shared" si="18"/>
        <v>968</v>
      </c>
      <c r="E206" s="60">
        <v>10903</v>
      </c>
      <c r="F206" s="82">
        <f t="shared" si="19"/>
        <v>65.47275762634695</v>
      </c>
      <c r="G206" s="81" t="s">
        <v>843</v>
      </c>
      <c r="H206" s="81"/>
      <c r="I206" s="81">
        <v>28718</v>
      </c>
      <c r="J206" s="84">
        <f t="shared" si="20"/>
        <v>-18046</v>
      </c>
      <c r="K206" s="81">
        <v>10672</v>
      </c>
      <c r="L206" s="82">
        <f t="shared" si="21"/>
        <v>0</v>
      </c>
    </row>
    <row r="207" spans="1:12" s="68" customFormat="1" ht="22.5" customHeight="1">
      <c r="A207" s="270" t="s">
        <v>844</v>
      </c>
      <c r="B207" s="81">
        <v>6500</v>
      </c>
      <c r="C207" s="81"/>
      <c r="D207" s="81">
        <f t="shared" si="18"/>
        <v>4000</v>
      </c>
      <c r="E207" s="81">
        <v>4000</v>
      </c>
      <c r="F207" s="82">
        <f t="shared" si="19"/>
        <v>-38.46153846153846</v>
      </c>
      <c r="G207" s="81" t="s">
        <v>845</v>
      </c>
      <c r="H207" s="81">
        <v>10903</v>
      </c>
      <c r="I207" s="81"/>
      <c r="J207" s="84">
        <f t="shared" si="20"/>
        <v>0</v>
      </c>
      <c r="K207" s="81"/>
      <c r="L207" s="82">
        <f t="shared" si="21"/>
        <v>-100</v>
      </c>
    </row>
    <row r="208" spans="1:12" s="68" customFormat="1" ht="22.5" customHeight="1">
      <c r="A208" s="102" t="s">
        <v>156</v>
      </c>
      <c r="B208" s="81">
        <f>SUM(B201:B202)</f>
        <v>30024</v>
      </c>
      <c r="C208" s="81">
        <f>SUM(C201:C202)</f>
        <v>56278</v>
      </c>
      <c r="D208" s="81">
        <f>SUM(D201:D202)</f>
        <v>-11910</v>
      </c>
      <c r="E208" s="81">
        <f>SUM(E201:E202)</f>
        <v>44368</v>
      </c>
      <c r="F208" s="82">
        <f t="shared" si="19"/>
        <v>47.77511324273913</v>
      </c>
      <c r="G208" s="102" t="s">
        <v>157</v>
      </c>
      <c r="H208" s="81">
        <f>SUM(H201:H202)</f>
        <v>30024</v>
      </c>
      <c r="I208" s="81">
        <f>SUM(I201:I202)</f>
        <v>56278</v>
      </c>
      <c r="J208" s="84">
        <f t="shared" si="20"/>
        <v>-11910</v>
      </c>
      <c r="K208" s="81">
        <f>SUM(K201:K202)</f>
        <v>44368</v>
      </c>
      <c r="L208" s="82">
        <f t="shared" si="21"/>
        <v>47.77511324273913</v>
      </c>
    </row>
    <row r="209" spans="1:12" s="68" customFormat="1" ht="22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s="68" customFormat="1" ht="22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</sheetData>
  <sheetProtection sort="0"/>
  <mergeCells count="3">
    <mergeCell ref="A1:L1"/>
    <mergeCell ref="A3:C3"/>
    <mergeCell ref="G3:L3"/>
  </mergeCells>
  <printOptions horizontalCentered="1"/>
  <pageMargins left="0.15748031496062992" right="0.15748031496062992" top="0.5905511811023623" bottom="0.3937007874015748" header="0.5118110236220472" footer="0.5118110236220472"/>
  <pageSetup blackAndWhite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Zeros="0" workbookViewId="0" topLeftCell="A1">
      <pane xSplit="2" ySplit="4" topLeftCell="C11" activePane="bottomRight" state="frozen"/>
      <selection pane="bottomRight" activeCell="D16" sqref="D16"/>
    </sheetView>
  </sheetViews>
  <sheetFormatPr defaultColWidth="9.00390625" defaultRowHeight="14.25"/>
  <cols>
    <col min="1" max="1" width="48.00390625" style="25" customWidth="1"/>
    <col min="2" max="2" width="10.50390625" style="25" customWidth="1"/>
    <col min="3" max="4" width="9.125" style="25" customWidth="1"/>
    <col min="5" max="6" width="9.00390625" style="25" customWidth="1"/>
    <col min="7" max="8" width="9.50390625" style="25" customWidth="1"/>
    <col min="9" max="9" width="11.375" style="25" customWidth="1"/>
    <col min="10" max="10" width="10.25390625" style="25" customWidth="1"/>
    <col min="11" max="11" width="11.75390625" style="25" customWidth="1"/>
    <col min="12" max="16384" width="9.00390625" style="25" customWidth="1"/>
  </cols>
  <sheetData>
    <row r="1" spans="1:11" ht="33.75" customHeight="1">
      <c r="A1" s="252" t="s">
        <v>846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0.25" customHeight="1">
      <c r="A2" s="51"/>
      <c r="K2" s="65" t="s">
        <v>1</v>
      </c>
    </row>
    <row r="3" spans="1:11" s="48" customFormat="1" ht="31.5" customHeight="1">
      <c r="A3" s="52" t="s">
        <v>2</v>
      </c>
      <c r="B3" s="52" t="s">
        <v>847</v>
      </c>
      <c r="C3" s="53" t="s">
        <v>848</v>
      </c>
      <c r="D3" s="272" t="s">
        <v>849</v>
      </c>
      <c r="E3" s="53" t="s">
        <v>850</v>
      </c>
      <c r="F3" s="272" t="s">
        <v>851</v>
      </c>
      <c r="G3" s="53" t="s">
        <v>385</v>
      </c>
      <c r="H3" s="272" t="s">
        <v>852</v>
      </c>
      <c r="I3" s="66" t="s">
        <v>384</v>
      </c>
      <c r="J3" s="53" t="s">
        <v>853</v>
      </c>
      <c r="K3" s="52" t="s">
        <v>854</v>
      </c>
    </row>
    <row r="4" spans="1:11" s="48" customFormat="1" ht="27.75" customHeight="1">
      <c r="A4" s="54"/>
      <c r="B4" s="54"/>
      <c r="C4" s="55"/>
      <c r="D4" s="56"/>
      <c r="E4" s="57"/>
      <c r="F4" s="57"/>
      <c r="G4" s="58"/>
      <c r="H4" s="58"/>
      <c r="I4" s="67"/>
      <c r="J4" s="56"/>
      <c r="K4" s="54"/>
    </row>
    <row r="5" spans="1:11" s="49" customFormat="1" ht="18" customHeight="1">
      <c r="A5" s="59" t="s">
        <v>855</v>
      </c>
      <c r="B5" s="60">
        <f aca="true" t="shared" si="0" ref="B5:B45">SUM(C5:K5)</f>
        <v>5</v>
      </c>
      <c r="C5" s="60">
        <f aca="true" t="shared" si="1" ref="C5:K5">C6+C7</f>
        <v>0</v>
      </c>
      <c r="D5" s="60">
        <f t="shared" si="1"/>
        <v>0</v>
      </c>
      <c r="E5" s="60">
        <f t="shared" si="1"/>
        <v>0</v>
      </c>
      <c r="F5" s="60">
        <f t="shared" si="1"/>
        <v>5</v>
      </c>
      <c r="G5" s="60">
        <f t="shared" si="1"/>
        <v>0</v>
      </c>
      <c r="H5" s="60">
        <f t="shared" si="1"/>
        <v>0</v>
      </c>
      <c r="I5" s="60">
        <f t="shared" si="1"/>
        <v>0</v>
      </c>
      <c r="J5" s="60">
        <f t="shared" si="1"/>
        <v>0</v>
      </c>
      <c r="K5" s="60">
        <f t="shared" si="1"/>
        <v>0</v>
      </c>
    </row>
    <row r="6" spans="1:11" s="49" customFormat="1" ht="18" customHeight="1">
      <c r="A6" s="61" t="s">
        <v>856</v>
      </c>
      <c r="B6" s="60">
        <f t="shared" si="0"/>
        <v>5</v>
      </c>
      <c r="C6" s="60"/>
      <c r="D6" s="60"/>
      <c r="E6" s="60"/>
      <c r="F6" s="60">
        <v>5</v>
      </c>
      <c r="G6" s="60"/>
      <c r="H6" s="60"/>
      <c r="I6" s="60"/>
      <c r="J6" s="60"/>
      <c r="K6" s="60"/>
    </row>
    <row r="7" spans="1:11" s="49" customFormat="1" ht="18" customHeight="1">
      <c r="A7" s="61" t="s">
        <v>857</v>
      </c>
      <c r="B7" s="60">
        <f t="shared" si="0"/>
        <v>0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s="49" customFormat="1" ht="18" customHeight="1">
      <c r="A8" s="59" t="s">
        <v>637</v>
      </c>
      <c r="B8" s="60">
        <f t="shared" si="0"/>
        <v>6243</v>
      </c>
      <c r="C8" s="60">
        <f aca="true" t="shared" si="2" ref="C8:K8">C9+C10</f>
        <v>0</v>
      </c>
      <c r="D8" s="60">
        <f t="shared" si="2"/>
        <v>0</v>
      </c>
      <c r="E8" s="60">
        <f t="shared" si="2"/>
        <v>727</v>
      </c>
      <c r="F8" s="60">
        <f t="shared" si="2"/>
        <v>1347</v>
      </c>
      <c r="G8" s="60">
        <f t="shared" si="2"/>
        <v>4264</v>
      </c>
      <c r="H8" s="60">
        <f t="shared" si="2"/>
        <v>-95</v>
      </c>
      <c r="I8" s="60">
        <f t="shared" si="2"/>
        <v>0</v>
      </c>
      <c r="J8" s="60">
        <f t="shared" si="2"/>
        <v>0</v>
      </c>
      <c r="K8" s="60">
        <f t="shared" si="2"/>
        <v>0</v>
      </c>
    </row>
    <row r="9" spans="1:11" s="49" customFormat="1" ht="18" customHeight="1">
      <c r="A9" s="61" t="s">
        <v>639</v>
      </c>
      <c r="B9" s="60">
        <f t="shared" si="0"/>
        <v>6123</v>
      </c>
      <c r="C9" s="60"/>
      <c r="D9" s="60"/>
      <c r="E9" s="60">
        <v>727</v>
      </c>
      <c r="F9" s="60">
        <v>1347</v>
      </c>
      <c r="G9" s="60">
        <v>4225</v>
      </c>
      <c r="H9" s="60">
        <v>-176</v>
      </c>
      <c r="I9" s="60"/>
      <c r="J9" s="60"/>
      <c r="K9" s="60"/>
    </row>
    <row r="10" spans="1:11" s="49" customFormat="1" ht="18" customHeight="1">
      <c r="A10" s="61" t="s">
        <v>858</v>
      </c>
      <c r="B10" s="60">
        <f t="shared" si="0"/>
        <v>120</v>
      </c>
      <c r="C10" s="60"/>
      <c r="D10" s="60"/>
      <c r="E10" s="60"/>
      <c r="F10" s="60"/>
      <c r="G10" s="60">
        <v>39</v>
      </c>
      <c r="H10" s="60">
        <v>81</v>
      </c>
      <c r="I10" s="60"/>
      <c r="J10" s="60"/>
      <c r="K10" s="60"/>
    </row>
    <row r="11" spans="1:11" s="49" customFormat="1" ht="18" customHeight="1">
      <c r="A11" s="59" t="s">
        <v>653</v>
      </c>
      <c r="B11" s="60">
        <f t="shared" si="0"/>
        <v>0</v>
      </c>
      <c r="C11" s="60">
        <f aca="true" t="shared" si="3" ref="C11:K11">C12+C13</f>
        <v>0</v>
      </c>
      <c r="D11" s="60">
        <f t="shared" si="3"/>
        <v>0</v>
      </c>
      <c r="E11" s="60">
        <f t="shared" si="3"/>
        <v>0</v>
      </c>
      <c r="F11" s="60">
        <f t="shared" si="3"/>
        <v>0</v>
      </c>
      <c r="G11" s="60">
        <f t="shared" si="3"/>
        <v>0</v>
      </c>
      <c r="H11" s="60">
        <f t="shared" si="3"/>
        <v>0</v>
      </c>
      <c r="I11" s="60">
        <f t="shared" si="3"/>
        <v>0</v>
      </c>
      <c r="J11" s="60">
        <f t="shared" si="3"/>
        <v>0</v>
      </c>
      <c r="K11" s="60">
        <f t="shared" si="3"/>
        <v>0</v>
      </c>
    </row>
    <row r="12" spans="1:11" s="49" customFormat="1" ht="18" customHeight="1">
      <c r="A12" s="59" t="s">
        <v>655</v>
      </c>
      <c r="B12" s="60">
        <f t="shared" si="0"/>
        <v>0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s="49" customFormat="1" ht="18" customHeight="1">
      <c r="A13" s="59" t="s">
        <v>659</v>
      </c>
      <c r="B13" s="60">
        <f t="shared" si="0"/>
        <v>0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s="49" customFormat="1" ht="18" customHeight="1">
      <c r="A14" s="59" t="s">
        <v>669</v>
      </c>
      <c r="B14" s="60">
        <f t="shared" si="0"/>
        <v>18335</v>
      </c>
      <c r="C14" s="60">
        <f aca="true" t="shared" si="4" ref="C14:K14">SUM(C15:C20)</f>
        <v>14882</v>
      </c>
      <c r="D14" s="60">
        <f t="shared" si="4"/>
        <v>-490</v>
      </c>
      <c r="E14" s="60">
        <f t="shared" si="4"/>
        <v>0</v>
      </c>
      <c r="F14" s="60">
        <f t="shared" si="4"/>
        <v>0</v>
      </c>
      <c r="G14" s="60">
        <f t="shared" si="4"/>
        <v>3580</v>
      </c>
      <c r="H14" s="60">
        <f t="shared" si="4"/>
        <v>363</v>
      </c>
      <c r="I14" s="60">
        <f t="shared" si="4"/>
        <v>0</v>
      </c>
      <c r="J14" s="60">
        <f t="shared" si="4"/>
        <v>0</v>
      </c>
      <c r="K14" s="60">
        <f t="shared" si="4"/>
        <v>0</v>
      </c>
    </row>
    <row r="15" spans="1:11" s="49" customFormat="1" ht="18" customHeight="1">
      <c r="A15" s="59" t="s">
        <v>859</v>
      </c>
      <c r="B15" s="60">
        <f t="shared" si="0"/>
        <v>16788</v>
      </c>
      <c r="C15" s="60">
        <f>16650-1718-1440</f>
        <v>13492</v>
      </c>
      <c r="D15" s="60">
        <f>-6999+7374-65</f>
        <v>310</v>
      </c>
      <c r="E15" s="60"/>
      <c r="F15" s="60"/>
      <c r="G15" s="60">
        <v>3580</v>
      </c>
      <c r="H15" s="60">
        <v>-594</v>
      </c>
      <c r="I15" s="60"/>
      <c r="J15" s="60"/>
      <c r="K15" s="60"/>
    </row>
    <row r="16" spans="1:11" s="49" customFormat="1" ht="18" customHeight="1">
      <c r="A16" s="59" t="s">
        <v>860</v>
      </c>
      <c r="B16" s="60">
        <f t="shared" si="0"/>
        <v>0</v>
      </c>
      <c r="C16" s="60">
        <v>760</v>
      </c>
      <c r="D16" s="60">
        <v>-760</v>
      </c>
      <c r="E16" s="60"/>
      <c r="F16" s="60"/>
      <c r="G16" s="60"/>
      <c r="H16" s="60"/>
      <c r="I16" s="60"/>
      <c r="J16" s="60"/>
      <c r="K16" s="60"/>
    </row>
    <row r="17" spans="1:11" s="49" customFormat="1" ht="18" customHeight="1">
      <c r="A17" s="59" t="s">
        <v>861</v>
      </c>
      <c r="B17" s="60">
        <f t="shared" si="0"/>
        <v>401</v>
      </c>
      <c r="C17" s="60">
        <v>40</v>
      </c>
      <c r="D17" s="60">
        <v>-40</v>
      </c>
      <c r="E17" s="60"/>
      <c r="F17" s="60"/>
      <c r="G17" s="60"/>
      <c r="H17" s="60">
        <v>401</v>
      </c>
      <c r="I17" s="60"/>
      <c r="J17" s="60"/>
      <c r="K17" s="60"/>
    </row>
    <row r="18" spans="1:11" s="49" customFormat="1" ht="18" customHeight="1">
      <c r="A18" s="59" t="s">
        <v>862</v>
      </c>
      <c r="B18" s="60">
        <f t="shared" si="0"/>
        <v>0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s="49" customFormat="1" ht="18" customHeight="1">
      <c r="A19" s="271" t="s">
        <v>863</v>
      </c>
      <c r="B19" s="60">
        <f t="shared" si="0"/>
        <v>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s="49" customFormat="1" ht="18" customHeight="1">
      <c r="A20" s="59" t="s">
        <v>864</v>
      </c>
      <c r="B20" s="60">
        <f t="shared" si="0"/>
        <v>1146</v>
      </c>
      <c r="C20" s="60">
        <v>590</v>
      </c>
      <c r="D20" s="60"/>
      <c r="E20" s="60"/>
      <c r="F20" s="60"/>
      <c r="G20" s="60"/>
      <c r="H20" s="60">
        <v>556</v>
      </c>
      <c r="I20" s="60"/>
      <c r="J20" s="60"/>
      <c r="K20" s="60"/>
    </row>
    <row r="21" spans="1:11" s="49" customFormat="1" ht="18" customHeight="1">
      <c r="A21" s="59" t="s">
        <v>723</v>
      </c>
      <c r="B21" s="60">
        <f t="shared" si="0"/>
        <v>973</v>
      </c>
      <c r="C21" s="60">
        <f aca="true" t="shared" si="5" ref="C21:K21">SUM(C22:C25)</f>
        <v>0</v>
      </c>
      <c r="D21" s="60">
        <f t="shared" si="5"/>
        <v>0</v>
      </c>
      <c r="E21" s="60">
        <f t="shared" si="5"/>
        <v>0</v>
      </c>
      <c r="F21" s="60">
        <f t="shared" si="5"/>
        <v>158</v>
      </c>
      <c r="G21" s="60">
        <f t="shared" si="5"/>
        <v>815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</row>
    <row r="22" spans="1:11" s="49" customFormat="1" ht="18" customHeight="1">
      <c r="A22" s="62" t="s">
        <v>865</v>
      </c>
      <c r="B22" s="60">
        <f t="shared" si="0"/>
        <v>0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s="49" customFormat="1" ht="18" customHeight="1">
      <c r="A23" s="62" t="s">
        <v>866</v>
      </c>
      <c r="B23" s="60">
        <f t="shared" si="0"/>
        <v>722</v>
      </c>
      <c r="C23" s="60"/>
      <c r="D23" s="60"/>
      <c r="E23" s="60"/>
      <c r="F23" s="60">
        <v>158</v>
      </c>
      <c r="G23" s="60">
        <v>564</v>
      </c>
      <c r="H23" s="60"/>
      <c r="I23" s="60"/>
      <c r="J23" s="60"/>
      <c r="K23" s="60"/>
    </row>
    <row r="24" spans="1:11" s="49" customFormat="1" ht="18" customHeight="1">
      <c r="A24" s="62" t="s">
        <v>734</v>
      </c>
      <c r="B24" s="60">
        <f t="shared" si="0"/>
        <v>0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s="49" customFormat="1" ht="18" customHeight="1">
      <c r="A25" s="62" t="s">
        <v>867</v>
      </c>
      <c r="B25" s="60">
        <f t="shared" si="0"/>
        <v>251</v>
      </c>
      <c r="C25" s="60"/>
      <c r="D25" s="60"/>
      <c r="E25" s="60"/>
      <c r="F25" s="60"/>
      <c r="G25" s="60">
        <v>251</v>
      </c>
      <c r="H25" s="60"/>
      <c r="I25" s="60"/>
      <c r="J25" s="60"/>
      <c r="K25" s="60"/>
    </row>
    <row r="26" spans="1:11" s="49" customFormat="1" ht="31.5" customHeight="1">
      <c r="A26" s="61" t="s">
        <v>748</v>
      </c>
      <c r="B26" s="60">
        <f t="shared" si="0"/>
        <v>0</v>
      </c>
      <c r="C26" s="60">
        <f aca="true" t="shared" si="6" ref="C26:K26">SUM(C27:C32)</f>
        <v>0</v>
      </c>
      <c r="D26" s="60">
        <f t="shared" si="6"/>
        <v>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0</v>
      </c>
      <c r="K26" s="60">
        <f t="shared" si="6"/>
        <v>0</v>
      </c>
    </row>
    <row r="27" spans="1:11" s="49" customFormat="1" ht="18" customHeight="1">
      <c r="A27" s="63" t="s">
        <v>868</v>
      </c>
      <c r="B27" s="60">
        <f t="shared" si="0"/>
        <v>0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s="49" customFormat="1" ht="18" customHeight="1">
      <c r="A28" s="62" t="s">
        <v>869</v>
      </c>
      <c r="B28" s="60">
        <f t="shared" si="0"/>
        <v>0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9" customFormat="1" ht="18" customHeight="1">
      <c r="A29" s="62" t="s">
        <v>870</v>
      </c>
      <c r="B29" s="60">
        <f t="shared" si="0"/>
        <v>0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9" customFormat="1" ht="18" customHeight="1">
      <c r="A30" s="62" t="s">
        <v>765</v>
      </c>
      <c r="B30" s="60">
        <f t="shared" si="0"/>
        <v>0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9" customFormat="1" ht="18" customHeight="1">
      <c r="A31" s="62" t="s">
        <v>774</v>
      </c>
      <c r="B31" s="60">
        <f t="shared" si="0"/>
        <v>0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s="49" customFormat="1" ht="18" customHeight="1">
      <c r="A32" s="62" t="s">
        <v>781</v>
      </c>
      <c r="B32" s="60">
        <f t="shared" si="0"/>
        <v>0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49" customFormat="1" ht="18" customHeight="1">
      <c r="A33" s="61" t="s">
        <v>791</v>
      </c>
      <c r="B33" s="60">
        <f t="shared" si="0"/>
        <v>0</v>
      </c>
      <c r="C33" s="60">
        <f aca="true" t="shared" si="7" ref="C33:K33">SUM(C34:C35)</f>
        <v>0</v>
      </c>
      <c r="D33" s="60">
        <f t="shared" si="7"/>
        <v>0</v>
      </c>
      <c r="E33" s="60">
        <f t="shared" si="7"/>
        <v>0</v>
      </c>
      <c r="F33" s="60">
        <f t="shared" si="7"/>
        <v>0</v>
      </c>
      <c r="G33" s="60">
        <f t="shared" si="7"/>
        <v>0</v>
      </c>
      <c r="H33" s="60">
        <f t="shared" si="7"/>
        <v>0</v>
      </c>
      <c r="I33" s="60">
        <f t="shared" si="7"/>
        <v>0</v>
      </c>
      <c r="J33" s="60">
        <f t="shared" si="7"/>
        <v>0</v>
      </c>
      <c r="K33" s="60">
        <f t="shared" si="7"/>
        <v>0</v>
      </c>
    </row>
    <row r="34" spans="1:11" s="49" customFormat="1" ht="18" customHeight="1">
      <c r="A34" s="62" t="s">
        <v>871</v>
      </c>
      <c r="B34" s="60">
        <f t="shared" si="0"/>
        <v>0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s="49" customFormat="1" ht="18" customHeight="1">
      <c r="A35" s="62" t="s">
        <v>807</v>
      </c>
      <c r="B35" s="60">
        <f t="shared" si="0"/>
        <v>0</v>
      </c>
      <c r="C35" s="60">
        <f aca="true" t="shared" si="8" ref="C35:K35">C36+C37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 t="shared" si="8"/>
        <v>0</v>
      </c>
      <c r="H35" s="60">
        <f t="shared" si="8"/>
        <v>0</v>
      </c>
      <c r="I35" s="60">
        <f t="shared" si="8"/>
        <v>0</v>
      </c>
      <c r="J35" s="60">
        <f t="shared" si="8"/>
        <v>0</v>
      </c>
      <c r="K35" s="60">
        <f t="shared" si="8"/>
        <v>0</v>
      </c>
    </row>
    <row r="36" spans="1:11" s="49" customFormat="1" ht="18" customHeight="1">
      <c r="A36" s="62" t="s">
        <v>808</v>
      </c>
      <c r="B36" s="60">
        <f t="shared" si="0"/>
        <v>0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1:11" s="49" customFormat="1" ht="18" customHeight="1">
      <c r="A37" s="62" t="s">
        <v>809</v>
      </c>
      <c r="B37" s="60">
        <f t="shared" si="0"/>
        <v>0</v>
      </c>
      <c r="C37" s="60"/>
      <c r="D37" s="60"/>
      <c r="E37" s="60"/>
      <c r="F37" s="60"/>
      <c r="G37" s="60"/>
      <c r="H37" s="60"/>
      <c r="I37" s="60"/>
      <c r="J37" s="60"/>
      <c r="K37" s="60"/>
    </row>
    <row r="38" spans="1:11" s="49" customFormat="1" ht="18" customHeight="1">
      <c r="A38" s="61" t="s">
        <v>872</v>
      </c>
      <c r="B38" s="60">
        <f t="shared" si="0"/>
        <v>0</v>
      </c>
      <c r="C38" s="60">
        <f aca="true" t="shared" si="9" ref="C38:K38">C39</f>
        <v>0</v>
      </c>
      <c r="D38" s="60">
        <f t="shared" si="9"/>
        <v>0</v>
      </c>
      <c r="E38" s="60">
        <f t="shared" si="9"/>
        <v>0</v>
      </c>
      <c r="F38" s="60">
        <f t="shared" si="9"/>
        <v>0</v>
      </c>
      <c r="G38" s="60">
        <f t="shared" si="9"/>
        <v>0</v>
      </c>
      <c r="H38" s="60">
        <f t="shared" si="9"/>
        <v>0</v>
      </c>
      <c r="I38" s="60">
        <f t="shared" si="9"/>
        <v>0</v>
      </c>
      <c r="J38" s="60">
        <f t="shared" si="9"/>
        <v>0</v>
      </c>
      <c r="K38" s="60">
        <f t="shared" si="9"/>
        <v>0</v>
      </c>
    </row>
    <row r="39" spans="1:11" s="49" customFormat="1" ht="18" customHeight="1">
      <c r="A39" s="62" t="s">
        <v>857</v>
      </c>
      <c r="B39" s="60">
        <f t="shared" si="0"/>
        <v>0</v>
      </c>
      <c r="C39" s="60"/>
      <c r="D39" s="60"/>
      <c r="E39" s="60"/>
      <c r="F39" s="60"/>
      <c r="G39" s="60"/>
      <c r="H39" s="60"/>
      <c r="I39" s="60"/>
      <c r="J39" s="60"/>
      <c r="K39" s="60"/>
    </row>
    <row r="40" spans="1:11" s="49" customFormat="1" ht="18" customHeight="1">
      <c r="A40" s="61" t="s">
        <v>811</v>
      </c>
      <c r="B40" s="60">
        <f t="shared" si="0"/>
        <v>6635</v>
      </c>
      <c r="C40" s="60">
        <f aca="true" t="shared" si="10" ref="C40:K40">SUM(C41:C43)</f>
        <v>0</v>
      </c>
      <c r="D40" s="60">
        <f t="shared" si="10"/>
        <v>0</v>
      </c>
      <c r="E40" s="60">
        <f t="shared" si="10"/>
        <v>576</v>
      </c>
      <c r="F40" s="60">
        <f t="shared" si="10"/>
        <v>83</v>
      </c>
      <c r="G40" s="60">
        <f t="shared" si="10"/>
        <v>1276</v>
      </c>
      <c r="H40" s="60">
        <f t="shared" si="10"/>
        <v>700</v>
      </c>
      <c r="I40" s="60">
        <f t="shared" si="10"/>
        <v>0</v>
      </c>
      <c r="J40" s="60">
        <f t="shared" si="10"/>
        <v>4000</v>
      </c>
      <c r="K40" s="60">
        <f t="shared" si="10"/>
        <v>0</v>
      </c>
    </row>
    <row r="41" spans="1:11" s="49" customFormat="1" ht="18" customHeight="1">
      <c r="A41" s="62" t="s">
        <v>873</v>
      </c>
      <c r="B41" s="60">
        <f t="shared" si="0"/>
        <v>4745</v>
      </c>
      <c r="C41" s="60"/>
      <c r="D41" s="60"/>
      <c r="E41" s="60"/>
      <c r="F41" s="60">
        <v>-110</v>
      </c>
      <c r="G41" s="60">
        <v>110</v>
      </c>
      <c r="H41" s="60">
        <v>745</v>
      </c>
      <c r="I41" s="60"/>
      <c r="J41" s="60">
        <v>4000</v>
      </c>
      <c r="K41" s="60"/>
    </row>
    <row r="42" spans="1:11" s="49" customFormat="1" ht="18" customHeight="1">
      <c r="A42" s="62" t="s">
        <v>813</v>
      </c>
      <c r="B42" s="60">
        <f t="shared" si="0"/>
        <v>0</v>
      </c>
      <c r="C42" s="60"/>
      <c r="D42" s="60"/>
      <c r="E42" s="60"/>
      <c r="F42" s="60"/>
      <c r="G42" s="60"/>
      <c r="H42" s="60"/>
      <c r="I42" s="60"/>
      <c r="J42" s="60"/>
      <c r="K42" s="60"/>
    </row>
    <row r="43" spans="1:11" s="49" customFormat="1" ht="18" customHeight="1">
      <c r="A43" s="62" t="s">
        <v>874</v>
      </c>
      <c r="B43" s="60">
        <f t="shared" si="0"/>
        <v>1890</v>
      </c>
      <c r="C43" s="60"/>
      <c r="D43" s="60"/>
      <c r="E43" s="60">
        <v>576</v>
      </c>
      <c r="F43" s="60">
        <v>193</v>
      </c>
      <c r="G43" s="60">
        <v>1166</v>
      </c>
      <c r="H43" s="60">
        <v>-45</v>
      </c>
      <c r="I43" s="60"/>
      <c r="J43" s="60"/>
      <c r="K43" s="60"/>
    </row>
    <row r="44" spans="1:11" s="49" customFormat="1" ht="18" customHeight="1">
      <c r="A44" s="61" t="s">
        <v>833</v>
      </c>
      <c r="B44" s="60">
        <f t="shared" si="0"/>
        <v>1505</v>
      </c>
      <c r="C44" s="60">
        <v>1440</v>
      </c>
      <c r="D44" s="60">
        <v>65</v>
      </c>
      <c r="E44" s="60"/>
      <c r="F44" s="60"/>
      <c r="G44" s="60"/>
      <c r="H44" s="60"/>
      <c r="I44" s="60"/>
      <c r="J44" s="60"/>
      <c r="K44" s="60"/>
    </row>
    <row r="45" spans="1:11" s="49" customFormat="1" ht="18" customHeight="1">
      <c r="A45" s="61" t="s">
        <v>834</v>
      </c>
      <c r="B45" s="60">
        <f t="shared" si="0"/>
        <v>0</v>
      </c>
      <c r="C45" s="60"/>
      <c r="D45" s="60"/>
      <c r="E45" s="60"/>
      <c r="F45" s="60"/>
      <c r="G45" s="60"/>
      <c r="H45" s="60"/>
      <c r="I45" s="60"/>
      <c r="J45" s="60"/>
      <c r="K45" s="60"/>
    </row>
    <row r="46" spans="1:11" s="49" customFormat="1" ht="18" customHeight="1">
      <c r="A46" s="61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s="49" customFormat="1" ht="18" customHeight="1">
      <c r="A47" s="61" t="s">
        <v>875</v>
      </c>
      <c r="B47" s="60">
        <f>SUM(C47:K47)</f>
        <v>10672</v>
      </c>
      <c r="C47" s="60">
        <v>28718</v>
      </c>
      <c r="D47" s="60">
        <v>-18046</v>
      </c>
      <c r="E47" s="60"/>
      <c r="F47" s="60"/>
      <c r="G47" s="60"/>
      <c r="H47" s="60"/>
      <c r="I47" s="60"/>
      <c r="J47" s="60"/>
      <c r="K47" s="60"/>
    </row>
    <row r="48" spans="1:11" s="49" customFormat="1" ht="18" customHeight="1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s="49" customFormat="1" ht="18" customHeight="1">
      <c r="A49" s="61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49" customFormat="1" ht="18" customHeight="1">
      <c r="A50" s="61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s="49" customFormat="1" ht="18" customHeight="1">
      <c r="A51" s="61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s="49" customFormat="1" ht="18" customHeight="1">
      <c r="A52" s="61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s="49" customFormat="1" ht="18" customHeight="1">
      <c r="A53" s="61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s="49" customFormat="1" ht="18" customHeight="1">
      <c r="A54" s="61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" customHeight="1">
      <c r="A55" s="64" t="s">
        <v>157</v>
      </c>
      <c r="B55" s="60">
        <f>SUM(C55:K55)</f>
        <v>44368</v>
      </c>
      <c r="C55" s="60">
        <f aca="true" t="shared" si="11" ref="C55:K55">C5+C8+C11+C14+C21+C26+C33+C38+C40+C44+C45+C47</f>
        <v>45040</v>
      </c>
      <c r="D55" s="60">
        <f t="shared" si="11"/>
        <v>-18471</v>
      </c>
      <c r="E55" s="60">
        <f t="shared" si="11"/>
        <v>1303</v>
      </c>
      <c r="F55" s="60">
        <f t="shared" si="11"/>
        <v>1593</v>
      </c>
      <c r="G55" s="60">
        <f t="shared" si="11"/>
        <v>9935</v>
      </c>
      <c r="H55" s="60">
        <f t="shared" si="11"/>
        <v>968</v>
      </c>
      <c r="I55" s="60">
        <f t="shared" si="11"/>
        <v>0</v>
      </c>
      <c r="J55" s="60">
        <f t="shared" si="11"/>
        <v>4000</v>
      </c>
      <c r="K55" s="60">
        <f t="shared" si="11"/>
        <v>0</v>
      </c>
    </row>
    <row r="56" ht="18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workbookViewId="0" topLeftCell="A1">
      <selection activeCell="J4" sqref="J4"/>
    </sheetView>
  </sheetViews>
  <sheetFormatPr defaultColWidth="9.00390625" defaultRowHeight="14.25"/>
  <cols>
    <col min="1" max="1" width="32.875" style="25" customWidth="1"/>
    <col min="2" max="3" width="10.125" style="26" customWidth="1"/>
    <col min="4" max="4" width="15.125" style="26" customWidth="1"/>
    <col min="5" max="5" width="33.375" style="26" customWidth="1"/>
    <col min="6" max="6" width="10.50390625" style="26" customWidth="1"/>
    <col min="7" max="7" width="10.875" style="26" customWidth="1"/>
    <col min="8" max="8" width="13.125" style="26" customWidth="1"/>
    <col min="9" max="9" width="9.00390625" style="25" customWidth="1"/>
    <col min="10" max="10" width="9.375" style="25" customWidth="1"/>
    <col min="11" max="250" width="9.00390625" style="25" customWidth="1"/>
    <col min="251" max="16384" width="9.00390625" style="27" customWidth="1"/>
  </cols>
  <sheetData>
    <row r="1" spans="1:8" ht="24" customHeight="1">
      <c r="A1" s="273" t="s">
        <v>876</v>
      </c>
      <c r="B1" s="28"/>
      <c r="C1" s="28"/>
      <c r="D1" s="28"/>
      <c r="E1" s="28"/>
      <c r="F1" s="28"/>
      <c r="G1" s="28"/>
      <c r="H1" s="28"/>
    </row>
    <row r="2" spans="1:8" ht="15.75" customHeight="1">
      <c r="A2" s="29"/>
      <c r="B2" s="30"/>
      <c r="C2" s="30"/>
      <c r="D2" s="30"/>
      <c r="E2" s="25"/>
      <c r="F2" s="31"/>
      <c r="G2" s="31"/>
      <c r="H2" s="31" t="s">
        <v>877</v>
      </c>
    </row>
    <row r="3" spans="1:8" s="24" customFormat="1" ht="30" customHeight="1">
      <c r="A3" s="32" t="s">
        <v>878</v>
      </c>
      <c r="B3" s="33"/>
      <c r="C3" s="33"/>
      <c r="D3" s="34"/>
      <c r="E3" s="35" t="s">
        <v>879</v>
      </c>
      <c r="F3" s="36"/>
      <c r="G3" s="36"/>
      <c r="H3" s="37"/>
    </row>
    <row r="4" spans="1:8" s="24" customFormat="1" ht="30" customHeight="1">
      <c r="A4" s="38" t="s">
        <v>880</v>
      </c>
      <c r="B4" s="38" t="s">
        <v>34</v>
      </c>
      <c r="C4" s="38" t="s">
        <v>5</v>
      </c>
      <c r="D4" s="274" t="s">
        <v>371</v>
      </c>
      <c r="E4" s="38" t="s">
        <v>880</v>
      </c>
      <c r="F4" s="38" t="s">
        <v>34</v>
      </c>
      <c r="G4" s="38" t="s">
        <v>5</v>
      </c>
      <c r="H4" s="274" t="s">
        <v>371</v>
      </c>
    </row>
    <row r="5" spans="1:8" s="24" customFormat="1" ht="30" customHeight="1">
      <c r="A5" s="275" t="s">
        <v>881</v>
      </c>
      <c r="B5" s="40">
        <f>SUM(B6:B9)</f>
        <v>20285</v>
      </c>
      <c r="C5" s="41">
        <f>D5-B5</f>
        <v>5950</v>
      </c>
      <c r="D5" s="40">
        <f>SUM(D6:D9)</f>
        <v>26235</v>
      </c>
      <c r="E5" s="275" t="s">
        <v>882</v>
      </c>
      <c r="F5" s="40">
        <f>SUM(F6:F8)</f>
        <v>20285</v>
      </c>
      <c r="G5" s="41">
        <f>H5-F5</f>
        <v>727</v>
      </c>
      <c r="H5" s="40">
        <f>SUM(H6:H8)</f>
        <v>21012</v>
      </c>
    </row>
    <row r="6" spans="1:8" s="24" customFormat="1" ht="30" customHeight="1">
      <c r="A6" s="42" t="s">
        <v>883</v>
      </c>
      <c r="B6" s="43">
        <f>11940+10</f>
        <v>11950</v>
      </c>
      <c r="C6" s="41">
        <f aca="true" t="shared" si="0" ref="C6:C15">D6-B6</f>
        <v>2055</v>
      </c>
      <c r="D6" s="43">
        <v>14005</v>
      </c>
      <c r="E6" s="42" t="s">
        <v>884</v>
      </c>
      <c r="F6" s="44">
        <v>20135</v>
      </c>
      <c r="G6" s="41">
        <f aca="true" t="shared" si="1" ref="G6:G15">H6-F6</f>
        <v>865</v>
      </c>
      <c r="H6" s="44">
        <v>21000</v>
      </c>
    </row>
    <row r="7" spans="1:8" s="24" customFormat="1" ht="30" customHeight="1">
      <c r="A7" s="276" t="s">
        <v>885</v>
      </c>
      <c r="B7" s="44">
        <f>1959+5188+150-15</f>
        <v>7282</v>
      </c>
      <c r="C7" s="41">
        <f t="shared" si="0"/>
        <v>-660</v>
      </c>
      <c r="D7" s="44">
        <v>6622</v>
      </c>
      <c r="E7" s="42" t="s">
        <v>886</v>
      </c>
      <c r="F7" s="44"/>
      <c r="G7" s="41">
        <f t="shared" si="1"/>
        <v>0</v>
      </c>
      <c r="H7" s="44"/>
    </row>
    <row r="8" spans="1:8" s="24" customFormat="1" ht="30" customHeight="1">
      <c r="A8" s="42" t="s">
        <v>887</v>
      </c>
      <c r="B8" s="44"/>
      <c r="C8" s="41">
        <f t="shared" si="0"/>
        <v>4773</v>
      </c>
      <c r="D8" s="44">
        <v>4773</v>
      </c>
      <c r="E8" s="42" t="s">
        <v>888</v>
      </c>
      <c r="F8" s="44">
        <v>150</v>
      </c>
      <c r="G8" s="41">
        <f t="shared" si="1"/>
        <v>-138</v>
      </c>
      <c r="H8" s="44">
        <v>12</v>
      </c>
    </row>
    <row r="9" spans="1:8" s="24" customFormat="1" ht="30" customHeight="1">
      <c r="A9" s="42" t="s">
        <v>889</v>
      </c>
      <c r="B9" s="45">
        <v>1053</v>
      </c>
      <c r="C9" s="41">
        <f t="shared" si="0"/>
        <v>-218</v>
      </c>
      <c r="D9" s="45">
        <v>835</v>
      </c>
      <c r="E9" s="42" t="s">
        <v>890</v>
      </c>
      <c r="F9" s="45">
        <f>B5-F6-F7-F8</f>
        <v>0</v>
      </c>
      <c r="G9" s="41">
        <f t="shared" si="1"/>
        <v>5223</v>
      </c>
      <c r="H9" s="45">
        <v>5223</v>
      </c>
    </row>
    <row r="10" spans="1:8" s="24" customFormat="1" ht="30" customHeight="1">
      <c r="A10" s="277" t="s">
        <v>891</v>
      </c>
      <c r="B10" s="40">
        <f>SUM(B11:B14)</f>
        <v>34796</v>
      </c>
      <c r="C10" s="41">
        <f t="shared" si="0"/>
        <v>745</v>
      </c>
      <c r="D10" s="40">
        <f>SUM(D11:D14)</f>
        <v>35541</v>
      </c>
      <c r="E10" s="277" t="s">
        <v>892</v>
      </c>
      <c r="F10" s="40">
        <f>SUM(F11:F13)</f>
        <v>8335</v>
      </c>
      <c r="G10" s="41">
        <f t="shared" si="1"/>
        <v>441</v>
      </c>
      <c r="H10" s="40">
        <f>SUM(H11:H13)</f>
        <v>8776</v>
      </c>
    </row>
    <row r="11" spans="1:8" s="24" customFormat="1" ht="30" customHeight="1">
      <c r="A11" s="42" t="s">
        <v>893</v>
      </c>
      <c r="B11" s="44">
        <v>2265</v>
      </c>
      <c r="C11" s="41">
        <f t="shared" si="0"/>
        <v>178</v>
      </c>
      <c r="D11" s="44">
        <v>2443</v>
      </c>
      <c r="E11" s="42" t="s">
        <v>894</v>
      </c>
      <c r="F11" s="44">
        <v>8050</v>
      </c>
      <c r="G11" s="41">
        <f t="shared" si="1"/>
        <v>290</v>
      </c>
      <c r="H11" s="44">
        <v>8340</v>
      </c>
    </row>
    <row r="12" spans="1:8" s="24" customFormat="1" ht="30" customHeight="1">
      <c r="A12" s="42" t="s">
        <v>895</v>
      </c>
      <c r="B12" s="44">
        <f>5340+2405</f>
        <v>7745</v>
      </c>
      <c r="C12" s="41">
        <f t="shared" si="0"/>
        <v>710</v>
      </c>
      <c r="D12" s="44">
        <v>8455</v>
      </c>
      <c r="E12" s="42" t="s">
        <v>896</v>
      </c>
      <c r="F12" s="44">
        <v>285</v>
      </c>
      <c r="G12" s="41">
        <f t="shared" si="1"/>
        <v>151</v>
      </c>
      <c r="H12" s="44">
        <v>436</v>
      </c>
    </row>
    <row r="13" spans="1:8" s="24" customFormat="1" ht="30" customHeight="1">
      <c r="A13" s="42" t="s">
        <v>897</v>
      </c>
      <c r="B13" s="44">
        <v>5</v>
      </c>
      <c r="C13" s="41">
        <f t="shared" si="0"/>
        <v>22</v>
      </c>
      <c r="D13" s="44">
        <v>27</v>
      </c>
      <c r="E13" s="42" t="s">
        <v>888</v>
      </c>
      <c r="F13" s="44"/>
      <c r="G13" s="41">
        <f t="shared" si="1"/>
        <v>0</v>
      </c>
      <c r="H13" s="44"/>
    </row>
    <row r="14" spans="1:8" s="24" customFormat="1" ht="30" customHeight="1">
      <c r="A14" s="42" t="s">
        <v>889</v>
      </c>
      <c r="B14" s="44">
        <v>24781</v>
      </c>
      <c r="C14" s="41">
        <f t="shared" si="0"/>
        <v>-165</v>
      </c>
      <c r="D14" s="44">
        <v>24616</v>
      </c>
      <c r="E14" s="42" t="s">
        <v>890</v>
      </c>
      <c r="F14" s="45">
        <f>B10-F11-F12-F13</f>
        <v>26461</v>
      </c>
      <c r="G14" s="41">
        <f t="shared" si="1"/>
        <v>304</v>
      </c>
      <c r="H14" s="45">
        <v>26765</v>
      </c>
    </row>
    <row r="15" spans="1:10" s="24" customFormat="1" ht="30" customHeight="1">
      <c r="A15" s="47" t="s">
        <v>898</v>
      </c>
      <c r="B15" s="40">
        <f>SUM(B5+B10)</f>
        <v>55081</v>
      </c>
      <c r="C15" s="41">
        <f t="shared" si="0"/>
        <v>6695</v>
      </c>
      <c r="D15" s="40">
        <f>SUM(D5+D10)</f>
        <v>61776</v>
      </c>
      <c r="E15" s="47" t="s">
        <v>898</v>
      </c>
      <c r="F15" s="40">
        <f>SUM(F5+F10+F9+F14)</f>
        <v>55081</v>
      </c>
      <c r="G15" s="41">
        <f t="shared" si="1"/>
        <v>6695</v>
      </c>
      <c r="H15" s="40">
        <f>SUM(H5+H10+H9+H14)</f>
        <v>61776</v>
      </c>
      <c r="J15" s="24">
        <f>B15-F15</f>
        <v>0</v>
      </c>
    </row>
  </sheetData>
  <sheetProtection/>
  <mergeCells count="3">
    <mergeCell ref="A1:H1"/>
    <mergeCell ref="A3:D3"/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Zeros="0" workbookViewId="0" topLeftCell="A1">
      <selection activeCell="I26" sqref="I26"/>
    </sheetView>
  </sheetViews>
  <sheetFormatPr defaultColWidth="9.00390625" defaultRowHeight="14.25"/>
  <cols>
    <col min="1" max="1" width="23.875" style="1" customWidth="1"/>
    <col min="2" max="2" width="7.50390625" style="1" customWidth="1"/>
    <col min="3" max="8" width="9.00390625" style="1" customWidth="1"/>
    <col min="9" max="9" width="31.00390625" style="1" customWidth="1"/>
    <col min="10" max="10" width="8.625" style="1" customWidth="1"/>
    <col min="11" max="16384" width="9.00390625" style="1" customWidth="1"/>
  </cols>
  <sheetData>
    <row r="1" spans="1:16" ht="20.25">
      <c r="A1" s="278" t="s">
        <v>899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/>
      <c r="B2" s="4"/>
      <c r="C2" s="3"/>
      <c r="D2" s="3"/>
      <c r="E2" s="3"/>
      <c r="F2" s="3"/>
      <c r="G2" s="3"/>
      <c r="H2" s="5"/>
      <c r="I2" s="5"/>
      <c r="J2" s="4"/>
      <c r="K2" s="5"/>
      <c r="L2" s="5"/>
      <c r="M2" s="5"/>
      <c r="N2" s="5"/>
      <c r="O2" s="5"/>
      <c r="P2" s="21" t="s">
        <v>900</v>
      </c>
    </row>
    <row r="3" spans="1:16" ht="25.5" customHeight="1">
      <c r="A3" s="6" t="s">
        <v>901</v>
      </c>
      <c r="B3" s="7"/>
      <c r="C3" s="7"/>
      <c r="D3" s="7"/>
      <c r="E3" s="7"/>
      <c r="F3" s="7"/>
      <c r="G3" s="7"/>
      <c r="H3" s="8"/>
      <c r="I3" s="6" t="s">
        <v>902</v>
      </c>
      <c r="J3" s="7"/>
      <c r="K3" s="7"/>
      <c r="L3" s="7"/>
      <c r="M3" s="7"/>
      <c r="N3" s="7"/>
      <c r="O3" s="7"/>
      <c r="P3" s="8"/>
    </row>
    <row r="4" spans="1:16" ht="27.75" customHeight="1">
      <c r="A4" s="9" t="s">
        <v>903</v>
      </c>
      <c r="B4" s="9" t="s">
        <v>904</v>
      </c>
      <c r="C4" s="279" t="s">
        <v>34</v>
      </c>
      <c r="D4" s="11"/>
      <c r="E4" s="12"/>
      <c r="F4" s="279" t="s">
        <v>371</v>
      </c>
      <c r="G4" s="11"/>
      <c r="H4" s="12"/>
      <c r="I4" s="9" t="s">
        <v>903</v>
      </c>
      <c r="J4" s="9" t="s">
        <v>904</v>
      </c>
      <c r="K4" s="279" t="s">
        <v>34</v>
      </c>
      <c r="L4" s="11"/>
      <c r="M4" s="12"/>
      <c r="N4" s="279" t="s">
        <v>371</v>
      </c>
      <c r="O4" s="11"/>
      <c r="P4" s="12"/>
    </row>
    <row r="5" spans="1:16" ht="30" customHeight="1">
      <c r="A5" s="13"/>
      <c r="B5" s="13"/>
      <c r="C5" s="14" t="s">
        <v>847</v>
      </c>
      <c r="D5" s="14" t="s">
        <v>905</v>
      </c>
      <c r="E5" s="280" t="s">
        <v>906</v>
      </c>
      <c r="F5" s="14" t="s">
        <v>847</v>
      </c>
      <c r="G5" s="14" t="s">
        <v>905</v>
      </c>
      <c r="H5" s="280" t="s">
        <v>906</v>
      </c>
      <c r="I5" s="13"/>
      <c r="J5" s="13"/>
      <c r="K5" s="14" t="s">
        <v>847</v>
      </c>
      <c r="L5" s="14" t="s">
        <v>905</v>
      </c>
      <c r="M5" s="280" t="s">
        <v>906</v>
      </c>
      <c r="N5" s="14" t="s">
        <v>847</v>
      </c>
      <c r="O5" s="14" t="s">
        <v>905</v>
      </c>
      <c r="P5" s="280" t="s">
        <v>906</v>
      </c>
    </row>
    <row r="6" spans="1:16" ht="14.25">
      <c r="A6" s="16" t="s">
        <v>907</v>
      </c>
      <c r="B6" s="16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2" t="s">
        <v>907</v>
      </c>
      <c r="J6" s="22"/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</row>
    <row r="7" spans="1:16" ht="27.75" customHeight="1">
      <c r="A7" s="17" t="s">
        <v>908</v>
      </c>
      <c r="B7" s="16">
        <v>1</v>
      </c>
      <c r="C7" s="17">
        <f>SUM(D7:E7)</f>
        <v>0</v>
      </c>
      <c r="D7" s="17"/>
      <c r="E7" s="17"/>
      <c r="F7" s="17">
        <f>SUM(G7:H7)</f>
        <v>0</v>
      </c>
      <c r="G7" s="17"/>
      <c r="H7" s="17"/>
      <c r="I7" s="281" t="s">
        <v>909</v>
      </c>
      <c r="J7" s="16">
        <v>12</v>
      </c>
      <c r="K7" s="17">
        <f>L7+M7</f>
        <v>26</v>
      </c>
      <c r="L7" s="17"/>
      <c r="M7" s="17">
        <v>26</v>
      </c>
      <c r="N7" s="17">
        <f>O7+P7</f>
        <v>26</v>
      </c>
      <c r="O7" s="17"/>
      <c r="P7" s="17">
        <v>26</v>
      </c>
    </row>
    <row r="8" spans="1:16" ht="27.75" customHeight="1">
      <c r="A8" s="17" t="s">
        <v>910</v>
      </c>
      <c r="B8" s="16">
        <v>2</v>
      </c>
      <c r="C8" s="17">
        <f aca="true" t="shared" si="0" ref="C8:C17">SUM(D8:E8)</f>
        <v>0</v>
      </c>
      <c r="D8" s="17"/>
      <c r="E8" s="17"/>
      <c r="F8" s="17">
        <f aca="true" t="shared" si="1" ref="F8:F17">SUM(G8:H8)</f>
        <v>0</v>
      </c>
      <c r="G8" s="17"/>
      <c r="H8" s="17"/>
      <c r="I8" s="17" t="s">
        <v>911</v>
      </c>
      <c r="J8" s="16">
        <v>13</v>
      </c>
      <c r="K8" s="17">
        <f aca="true" t="shared" si="2" ref="K8:K13">L8+M8</f>
        <v>0</v>
      </c>
      <c r="L8" s="17"/>
      <c r="M8" s="17"/>
      <c r="N8" s="17">
        <f>O8+P8</f>
        <v>0</v>
      </c>
      <c r="O8" s="17"/>
      <c r="P8" s="17"/>
    </row>
    <row r="9" spans="1:16" ht="27.75" customHeight="1">
      <c r="A9" s="17" t="s">
        <v>912</v>
      </c>
      <c r="B9" s="16">
        <v>3</v>
      </c>
      <c r="C9" s="17">
        <f t="shared" si="0"/>
        <v>0</v>
      </c>
      <c r="D9" s="17"/>
      <c r="E9" s="17"/>
      <c r="F9" s="17">
        <f t="shared" si="1"/>
        <v>0</v>
      </c>
      <c r="G9" s="17"/>
      <c r="H9" s="17"/>
      <c r="I9" s="17" t="s">
        <v>913</v>
      </c>
      <c r="J9" s="16">
        <v>14</v>
      </c>
      <c r="K9" s="17">
        <f t="shared" si="2"/>
        <v>0</v>
      </c>
      <c r="L9" s="17"/>
      <c r="M9" s="17"/>
      <c r="N9" s="17">
        <f>O9+P9</f>
        <v>0</v>
      </c>
      <c r="O9" s="17"/>
      <c r="P9" s="17"/>
    </row>
    <row r="10" spans="1:16" ht="27.75" customHeight="1">
      <c r="A10" s="17" t="s">
        <v>914</v>
      </c>
      <c r="B10" s="16">
        <v>4</v>
      </c>
      <c r="C10" s="17">
        <f t="shared" si="0"/>
        <v>0</v>
      </c>
      <c r="D10" s="17"/>
      <c r="E10" s="17"/>
      <c r="F10" s="17">
        <f t="shared" si="1"/>
        <v>0</v>
      </c>
      <c r="G10" s="17"/>
      <c r="H10" s="17"/>
      <c r="I10" s="17" t="s">
        <v>915</v>
      </c>
      <c r="J10" s="16">
        <v>15</v>
      </c>
      <c r="K10" s="17">
        <f t="shared" si="2"/>
        <v>0</v>
      </c>
      <c r="L10" s="17"/>
      <c r="M10" s="17"/>
      <c r="N10" s="17">
        <f>O10+P10</f>
        <v>0</v>
      </c>
      <c r="O10" s="17"/>
      <c r="P10" s="17"/>
    </row>
    <row r="11" spans="1:16" ht="27.75" customHeight="1">
      <c r="A11" s="18" t="s">
        <v>916</v>
      </c>
      <c r="B11" s="16">
        <v>5</v>
      </c>
      <c r="C11" s="17">
        <f t="shared" si="0"/>
        <v>0</v>
      </c>
      <c r="D11" s="16"/>
      <c r="E11" s="16"/>
      <c r="F11" s="17">
        <f t="shared" si="1"/>
        <v>0</v>
      </c>
      <c r="G11" s="16"/>
      <c r="H11" s="17"/>
      <c r="I11" s="17" t="s">
        <v>917</v>
      </c>
      <c r="J11" s="16">
        <v>16</v>
      </c>
      <c r="K11" s="17">
        <f t="shared" si="2"/>
        <v>0</v>
      </c>
      <c r="L11" s="17"/>
      <c r="M11" s="17"/>
      <c r="N11" s="16"/>
      <c r="O11" s="16"/>
      <c r="P11" s="16"/>
    </row>
    <row r="12" spans="1:16" ht="27.75" customHeight="1">
      <c r="A12" s="16"/>
      <c r="B12" s="16">
        <v>6</v>
      </c>
      <c r="C12" s="17">
        <f t="shared" si="0"/>
        <v>0</v>
      </c>
      <c r="D12" s="19"/>
      <c r="E12" s="19"/>
      <c r="F12" s="17">
        <f t="shared" si="1"/>
        <v>0</v>
      </c>
      <c r="G12" s="19"/>
      <c r="H12" s="19"/>
      <c r="I12" s="17"/>
      <c r="J12" s="16">
        <v>17</v>
      </c>
      <c r="K12" s="17"/>
      <c r="L12" s="17"/>
      <c r="M12" s="17"/>
      <c r="N12" s="16"/>
      <c r="O12" s="16"/>
      <c r="P12" s="16"/>
    </row>
    <row r="13" spans="1:16" ht="27.75" customHeight="1">
      <c r="A13" s="14" t="s">
        <v>918</v>
      </c>
      <c r="B13" s="16">
        <v>7</v>
      </c>
      <c r="C13" s="17">
        <f t="shared" si="0"/>
        <v>0</v>
      </c>
      <c r="D13" s="20">
        <f>SUM(D7:D11)</f>
        <v>0</v>
      </c>
      <c r="E13" s="20">
        <f>SUM(E7:E11)</f>
        <v>0</v>
      </c>
      <c r="F13" s="17">
        <f t="shared" si="1"/>
        <v>0</v>
      </c>
      <c r="G13" s="20">
        <f>SUM(G7:G11)</f>
        <v>0</v>
      </c>
      <c r="H13" s="20">
        <f>SUM(H7:H11)</f>
        <v>0</v>
      </c>
      <c r="I13" s="14" t="s">
        <v>919</v>
      </c>
      <c r="J13" s="16">
        <v>18</v>
      </c>
      <c r="K13" s="17">
        <f t="shared" si="2"/>
        <v>26</v>
      </c>
      <c r="L13" s="16">
        <f>SUM(L7:L11)</f>
        <v>0</v>
      </c>
      <c r="M13" s="16">
        <f>SUM(M7:M11)</f>
        <v>26</v>
      </c>
      <c r="N13" s="16">
        <f>O13+P13</f>
        <v>26</v>
      </c>
      <c r="O13" s="16">
        <f>SUM(O7:O11)</f>
        <v>0</v>
      </c>
      <c r="P13" s="16">
        <f>SUM(P7:P11)</f>
        <v>26</v>
      </c>
    </row>
    <row r="14" spans="1:16" ht="27.75" customHeight="1">
      <c r="A14" s="282" t="s">
        <v>920</v>
      </c>
      <c r="B14" s="16">
        <v>8</v>
      </c>
      <c r="C14" s="17">
        <f t="shared" si="0"/>
        <v>7</v>
      </c>
      <c r="D14" s="16"/>
      <c r="E14" s="16">
        <v>7</v>
      </c>
      <c r="F14" s="16">
        <f t="shared" si="1"/>
        <v>7</v>
      </c>
      <c r="G14" s="16"/>
      <c r="H14" s="16">
        <v>7</v>
      </c>
      <c r="I14" s="18" t="s">
        <v>921</v>
      </c>
      <c r="J14" s="16">
        <v>19</v>
      </c>
      <c r="K14" s="16">
        <f>L14</f>
        <v>0</v>
      </c>
      <c r="L14" s="16"/>
      <c r="M14" s="16" t="s">
        <v>922</v>
      </c>
      <c r="N14" s="16">
        <f>O14</f>
        <v>0</v>
      </c>
      <c r="O14" s="16"/>
      <c r="P14" s="16" t="s">
        <v>922</v>
      </c>
    </row>
    <row r="15" spans="1:16" ht="27.75" customHeight="1">
      <c r="A15" s="282" t="s">
        <v>923</v>
      </c>
      <c r="B15" s="16">
        <v>9</v>
      </c>
      <c r="C15" s="17">
        <f t="shared" si="0"/>
        <v>19</v>
      </c>
      <c r="D15" s="16"/>
      <c r="E15" s="16">
        <v>19</v>
      </c>
      <c r="F15" s="16">
        <f t="shared" si="1"/>
        <v>19</v>
      </c>
      <c r="G15" s="16"/>
      <c r="H15" s="16">
        <v>19</v>
      </c>
      <c r="I15" s="17" t="s">
        <v>924</v>
      </c>
      <c r="J15" s="16">
        <v>20</v>
      </c>
      <c r="K15" s="16">
        <f>L15+M15</f>
        <v>0</v>
      </c>
      <c r="L15" s="17"/>
      <c r="M15" s="17"/>
      <c r="N15" s="16"/>
      <c r="O15" s="16"/>
      <c r="P15" s="16"/>
    </row>
    <row r="16" spans="1:16" ht="27.75" customHeight="1">
      <c r="A16" s="20"/>
      <c r="B16" s="16">
        <v>10</v>
      </c>
      <c r="C16" s="17">
        <f t="shared" si="0"/>
        <v>0</v>
      </c>
      <c r="D16" s="17"/>
      <c r="E16" s="17"/>
      <c r="F16" s="17">
        <f t="shared" si="1"/>
        <v>0</v>
      </c>
      <c r="G16" s="17"/>
      <c r="H16" s="17"/>
      <c r="I16" s="17" t="s">
        <v>925</v>
      </c>
      <c r="J16" s="16">
        <v>21</v>
      </c>
      <c r="K16" s="16">
        <f>L16+M16</f>
        <v>0</v>
      </c>
      <c r="L16" s="17"/>
      <c r="M16" s="17"/>
      <c r="N16" s="16">
        <f>O16+P16</f>
        <v>0</v>
      </c>
      <c r="O16" s="16"/>
      <c r="P16" s="16"/>
    </row>
    <row r="17" spans="1:16" ht="27.75" customHeight="1">
      <c r="A17" s="14" t="s">
        <v>926</v>
      </c>
      <c r="B17" s="16">
        <v>11</v>
      </c>
      <c r="C17" s="17">
        <f t="shared" si="0"/>
        <v>26</v>
      </c>
      <c r="D17" s="16">
        <f>D13+D14+D15</f>
        <v>0</v>
      </c>
      <c r="E17" s="16">
        <f>E13+E14+E15</f>
        <v>26</v>
      </c>
      <c r="F17" s="16">
        <f t="shared" si="1"/>
        <v>26</v>
      </c>
      <c r="G17" s="16">
        <f>G13+G14+G15</f>
        <v>0</v>
      </c>
      <c r="H17" s="16">
        <f>H13+H14+H15</f>
        <v>26</v>
      </c>
      <c r="I17" s="14" t="s">
        <v>927</v>
      </c>
      <c r="J17" s="16">
        <v>22</v>
      </c>
      <c r="K17" s="16">
        <f>L17+M17</f>
        <v>26</v>
      </c>
      <c r="L17" s="16">
        <f>L13+L14+L15+L16</f>
        <v>0</v>
      </c>
      <c r="M17" s="16">
        <f>M13+M15+M16</f>
        <v>26</v>
      </c>
      <c r="N17" s="16">
        <f>O17+P17</f>
        <v>26</v>
      </c>
      <c r="O17" s="16">
        <f>O13+O14+O15+O16</f>
        <v>0</v>
      </c>
      <c r="P17" s="16">
        <f>P13+P15+P16</f>
        <v>26</v>
      </c>
    </row>
  </sheetData>
  <sheetProtection/>
  <mergeCells count="11">
    <mergeCell ref="A1:P1"/>
    <mergeCell ref="A3:H3"/>
    <mergeCell ref="I3:P3"/>
    <mergeCell ref="C4:E4"/>
    <mergeCell ref="F4:H4"/>
    <mergeCell ref="K4:M4"/>
    <mergeCell ref="N4:P4"/>
    <mergeCell ref="A4:A5"/>
    <mergeCell ref="B4:B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kyoya</cp:lastModifiedBy>
  <cp:lastPrinted>2022-11-17T04:16:41Z</cp:lastPrinted>
  <dcterms:created xsi:type="dcterms:W3CDTF">2014-12-25T09:08:51Z</dcterms:created>
  <dcterms:modified xsi:type="dcterms:W3CDTF">2023-11-13T08:00:02Z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7935056AE8B54744BA371AE1B63CB4B2_12</vt:lpwstr>
  </property>
  <property fmtid="{D5CDD505-2E9C-101B-9397-08002B2CF9AE}" pid="4" name="KSOProductBuildV">
    <vt:lpwstr>2052-12.1.0.15712</vt:lpwstr>
  </property>
</Properties>
</file>